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vs.vm.gov.lv/Portal/webdav/5c54fb6c-5ac1-424c-a348-949044a60075/"/>
    </mc:Choice>
  </mc:AlternateContent>
  <xr:revisionPtr revIDLastSave="0" documentId="13_ncr:1_{11A698EF-1F1D-4236-B574-63B382C30194}" xr6:coauthVersionLast="47" xr6:coauthVersionMax="47" xr10:uidLastSave="{00000000-0000-0000-0000-000000000000}"/>
  <bookViews>
    <workbookView xWindow="-120" yWindow="-120" windowWidth="29040" windowHeight="15840" xr2:uid="{6BCE3FDA-E310-4F63-83C0-B272070839B6}"/>
  </bookViews>
  <sheets>
    <sheet name="speciālisti_SAIRIS" sheetId="2" r:id="rId1"/>
    <sheet name="Funkcionālie speciālisti" sheetId="1" r:id="rId2"/>
    <sheet name="ĢĀP_prognoze" sheetId="6" r:id="rId3"/>
    <sheet name="Zobārsti" sheetId="4" r:id="rId4"/>
  </sheets>
  <definedNames>
    <definedName name="_xlnm._FilterDatabase" localSheetId="1" hidden="1">'Funkcionālie speciālisti'!$B$13:$F$43</definedName>
    <definedName name="_xlnm._FilterDatabase" localSheetId="2" hidden="1">ĢĀP_prognoze!$B$10:$L$10</definedName>
    <definedName name="_xlnm._FilterDatabase" localSheetId="3" hidden="1">Zobārsti!$B$13:$K$62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89" i="2"/>
  <c r="D91" i="2"/>
  <c r="D74" i="2"/>
  <c r="H52" i="4"/>
  <c r="G52" i="4"/>
  <c r="F52" i="4"/>
  <c r="E52" i="4"/>
  <c r="D52" i="4"/>
  <c r="C52" i="4"/>
  <c r="H41" i="4"/>
  <c r="G41" i="4"/>
  <c r="F41" i="4"/>
  <c r="E41" i="4"/>
  <c r="D41" i="4"/>
  <c r="C41" i="4"/>
  <c r="H32" i="4"/>
  <c r="G32" i="4"/>
  <c r="F32" i="4"/>
  <c r="E32" i="4"/>
  <c r="D32" i="4"/>
  <c r="C32" i="4"/>
  <c r="H23" i="4"/>
  <c r="G23" i="4"/>
  <c r="F23" i="4"/>
  <c r="E23" i="4"/>
  <c r="D23" i="4"/>
  <c r="C23" i="4"/>
  <c r="H15" i="4"/>
  <c r="G15" i="4"/>
  <c r="F15" i="4"/>
  <c r="E15" i="4"/>
  <c r="D15" i="4"/>
  <c r="C15" i="4"/>
  <c r="G14" i="4" l="1"/>
  <c r="H14" i="4"/>
  <c r="F14" i="4"/>
  <c r="D14" i="4"/>
  <c r="C14" i="4"/>
  <c r="E14" i="4"/>
  <c r="D28" i="2" l="1"/>
  <c r="D51" i="2"/>
  <c r="D93" i="2"/>
  <c r="D136" i="2"/>
  <c r="D145" i="2"/>
  <c r="D163" i="2"/>
  <c r="D167" i="2"/>
  <c r="D174" i="2"/>
  <c r="D187" i="2"/>
  <c r="D189" i="2"/>
  <c r="D202" i="2"/>
  <c r="D204" i="2"/>
  <c r="E42" i="1" l="1"/>
  <c r="E41" i="1"/>
  <c r="E38" i="1"/>
  <c r="E36" i="1"/>
  <c r="E35" i="1"/>
  <c r="F34" i="1"/>
  <c r="F31" i="1"/>
  <c r="F24" i="1"/>
  <c r="F16" i="1"/>
  <c r="E34" i="1"/>
  <c r="E24" i="1"/>
  <c r="D41" i="1"/>
  <c r="D38" i="1"/>
  <c r="D35" i="1"/>
  <c r="D28" i="1"/>
  <c r="D16" i="1"/>
  <c r="C40" i="1"/>
  <c r="C37" i="1"/>
  <c r="C36" i="1"/>
  <c r="C24" i="1"/>
  <c r="C267" i="2" l="1"/>
  <c r="D263" i="2" s="1"/>
  <c r="C261" i="2"/>
  <c r="C254" i="2"/>
  <c r="C250" i="2"/>
  <c r="C248" i="2"/>
  <c r="C247" i="2"/>
  <c r="C244" i="2"/>
  <c r="C243" i="2"/>
  <c r="C241" i="2"/>
  <c r="C240" i="2"/>
  <c r="C239" i="2"/>
  <c r="C234" i="2"/>
  <c r="C230" i="2"/>
  <c r="C229" i="2"/>
  <c r="C227" i="2"/>
  <c r="C223" i="2"/>
  <c r="C222" i="2"/>
  <c r="C221" i="2"/>
  <c r="C220" i="2"/>
  <c r="C217" i="2"/>
  <c r="C210" i="2"/>
  <c r="C209" i="2"/>
  <c r="C207" i="2"/>
  <c r="D206" i="2" s="1"/>
  <c r="C201" i="2"/>
  <c r="D200" i="2" s="1"/>
  <c r="C199" i="2"/>
  <c r="D198" i="2" s="1"/>
  <c r="C197" i="2"/>
  <c r="C196" i="2"/>
  <c r="C186" i="2"/>
  <c r="D185" i="2" s="1"/>
  <c r="C184" i="2"/>
  <c r="D183" i="2" s="1"/>
  <c r="C182" i="2"/>
  <c r="C181" i="2"/>
  <c r="C180" i="2"/>
  <c r="C179" i="2"/>
  <c r="C178" i="2"/>
  <c r="C177" i="2"/>
  <c r="C172" i="2"/>
  <c r="C171" i="2"/>
  <c r="C166" i="2"/>
  <c r="D165" i="2" s="1"/>
  <c r="C160" i="2"/>
  <c r="C158" i="2"/>
  <c r="C155" i="2"/>
  <c r="D154" i="2" s="1"/>
  <c r="C153" i="2"/>
  <c r="C152" i="2"/>
  <c r="C148" i="2"/>
  <c r="C143" i="2"/>
  <c r="C142" i="2"/>
  <c r="C140" i="2"/>
  <c r="D138" i="2" s="1"/>
  <c r="C135" i="2"/>
  <c r="D133" i="2" s="1"/>
  <c r="C132" i="2"/>
  <c r="C131" i="2"/>
  <c r="C130" i="2"/>
  <c r="C129" i="2"/>
  <c r="C127" i="2"/>
  <c r="C126" i="2"/>
  <c r="C123" i="2"/>
  <c r="C122" i="2"/>
  <c r="C121" i="2"/>
  <c r="C120" i="2"/>
  <c r="C113" i="2"/>
  <c r="D110" i="2" s="1"/>
  <c r="C108" i="2"/>
  <c r="C106" i="2"/>
  <c r="C105" i="2"/>
  <c r="C104" i="2"/>
  <c r="C103" i="2"/>
  <c r="C101" i="2"/>
  <c r="C100" i="2"/>
  <c r="C99" i="2"/>
  <c r="C97" i="2"/>
  <c r="D95" i="2" s="1"/>
  <c r="C88" i="2"/>
  <c r="D86" i="2" s="1"/>
  <c r="C85" i="2"/>
  <c r="C84" i="2"/>
  <c r="C82" i="2"/>
  <c r="C81" i="2"/>
  <c r="C80" i="2"/>
  <c r="C79" i="2"/>
  <c r="C78" i="2"/>
  <c r="C71" i="2"/>
  <c r="C70" i="2"/>
  <c r="C69" i="2"/>
  <c r="C68" i="2"/>
  <c r="C67" i="2"/>
  <c r="C66" i="2"/>
  <c r="C65" i="2"/>
  <c r="C64" i="2"/>
  <c r="C59" i="2"/>
  <c r="C58" i="2"/>
  <c r="C57" i="2"/>
  <c r="C55" i="2"/>
  <c r="D53" i="2" s="1"/>
  <c r="C50" i="2"/>
  <c r="D49" i="2" s="1"/>
  <c r="C48" i="2"/>
  <c r="D47" i="2" s="1"/>
  <c r="C46" i="2"/>
  <c r="D43" i="2" s="1"/>
  <c r="C36" i="2"/>
  <c r="C35" i="2"/>
  <c r="C32" i="2"/>
  <c r="C31" i="2"/>
  <c r="C19" i="2"/>
  <c r="C15" i="2"/>
  <c r="C14" i="2"/>
  <c r="D169" i="2" l="1"/>
  <c r="D219" i="2"/>
  <c r="D13" i="2"/>
  <c r="D63" i="2"/>
  <c r="D30" i="2"/>
  <c r="D56" i="2"/>
  <c r="D193" i="2"/>
  <c r="D98" i="2"/>
  <c r="D128" i="2"/>
  <c r="D117" i="2"/>
  <c r="D176" i="2"/>
  <c r="D141" i="2"/>
  <c r="D77" i="2"/>
  <c r="D208" i="2"/>
  <c r="D246" i="2"/>
  <c r="D147" i="2"/>
  <c r="D125" i="2"/>
  <c r="D157" i="2"/>
  <c r="D270" i="2" l="1"/>
</calcChain>
</file>

<file path=xl/sharedStrings.xml><?xml version="1.0" encoding="utf-8"?>
<sst xmlns="http://schemas.openxmlformats.org/spreadsheetml/2006/main" count="459" uniqueCount="233">
  <si>
    <t>Ārstniecības iestāde</t>
  </si>
  <si>
    <t>sertificēts fizioterapeits</t>
  </si>
  <si>
    <t>sertificēts ergoterapeits</t>
  </si>
  <si>
    <t xml:space="preserve">sertificēts audiologopēds </t>
  </si>
  <si>
    <t>sertificēts mākslas terapeits</t>
  </si>
  <si>
    <t xml:space="preserve">SIA “Dobeles un apkārtnes slimnīca” </t>
  </si>
  <si>
    <t>SIA "Rēzeknes slimnīca"</t>
  </si>
  <si>
    <t>SIA "Ziemeļkurzemes reģionālā slimnīca"</t>
  </si>
  <si>
    <t>VSIA "Strenču psihoneiroloģiskā slimnīca"</t>
  </si>
  <si>
    <t>SIA "Kuldīgas slimnīca"</t>
  </si>
  <si>
    <t>VSIA "Paula Stardiņa klīniskā universitātes slimnīca"</t>
  </si>
  <si>
    <t>VSIA "Daugavpils psihoneiroloģiskā slimnīca"</t>
  </si>
  <si>
    <t>Daugavpils slimnīca</t>
  </si>
  <si>
    <t>Aknīstes slimnīca</t>
  </si>
  <si>
    <t>SIA "Rīgas Austrumu klīniskā universitātes slimnīca"</t>
  </si>
  <si>
    <t>SIA "Jēkabpils reģionālā slimnīca"</t>
  </si>
  <si>
    <t>SIA "Balvu un Gulbenes slimnīcu apvienība"</t>
  </si>
  <si>
    <t>SIA "Krāslavas slimnīca"</t>
  </si>
  <si>
    <t>VSIA "Nacionālais rehabilitācijas centrs "Vaivari""</t>
  </si>
  <si>
    <t>SIA "Jūrmalas slimnīca"</t>
  </si>
  <si>
    <t>VSIA "Piejūras slimnīca"</t>
  </si>
  <si>
    <t>VSIA "Nacionālais psihiskās veselības centrs"</t>
  </si>
  <si>
    <t>SIA "Alūksnes slimnīca"</t>
  </si>
  <si>
    <t>SIA "Cēsu klīnika"</t>
  </si>
  <si>
    <t>SIA "Jelgavas pilsētas slimnīca"</t>
  </si>
  <si>
    <t>VSIA "Bērnu klīniskā universitātes slimnīca"</t>
  </si>
  <si>
    <t>VSIA "Traumatoloģijas un ortopēdijas slimnīca"</t>
  </si>
  <si>
    <t>SIA "Rīgas 2.slimnīca"</t>
  </si>
  <si>
    <t>SIA "Daugavpils reģionālā slimnīca"</t>
  </si>
  <si>
    <t>SIA "Vidzemes slimnīca"</t>
  </si>
  <si>
    <t>SIA "Liepājas reģionālā slimnīca"</t>
  </si>
  <si>
    <t>VSIA "Slimnīca "Ģintermuiža""</t>
  </si>
  <si>
    <t>VSIA "Bērnu psihoneiroloģiskā slimnīca ""Ainaži""</t>
  </si>
  <si>
    <t xml:space="preserve">ESF projekts Nr. 4.1.2.5. “Ārstniecības personu piesaistes un noturēšanas pasākumi” </t>
  </si>
  <si>
    <t>slodze</t>
  </si>
  <si>
    <t>Ārsts</t>
  </si>
  <si>
    <t>P01: Internists</t>
  </si>
  <si>
    <t>RAKUS kopā</t>
  </si>
  <si>
    <t>Paula Stradiņa klīniskā universitātes slimnīca</t>
  </si>
  <si>
    <t>Ziemeļkurzemes reģionālā slimnīca, Talsi</t>
  </si>
  <si>
    <t>Rēzeknes slimnīca</t>
  </si>
  <si>
    <t>Jēkabpils reģionālā slimnīca</t>
  </si>
  <si>
    <t>Jelgavas pilsētas slimnīca</t>
  </si>
  <si>
    <t>Kuldīgas slimnīca</t>
  </si>
  <si>
    <t>Ludzas medicīnas centrs</t>
  </si>
  <si>
    <t>Rīgas 2. slimnīca</t>
  </si>
  <si>
    <t>Ziemeļkurzemes reģionālā slimnīca, Ventspils</t>
  </si>
  <si>
    <t>Ogres rajona slimnīca</t>
  </si>
  <si>
    <t>Preiļu slimnīca</t>
  </si>
  <si>
    <t>Strenču psihoneiroloģiskā slimnīca</t>
  </si>
  <si>
    <t>Daugavpils psihoneiroloģiskā slimnīca</t>
  </si>
  <si>
    <t>Latvijas Jūras medicīnas centrs</t>
  </si>
  <si>
    <t xml:space="preserve">P02: Ģimenes (vispārējās prakses) ārsts </t>
  </si>
  <si>
    <t>P03: Ķirurgs</t>
  </si>
  <si>
    <t>Vidzemes slimnīca</t>
  </si>
  <si>
    <t>Daugavpils reģionālā slimnīca</t>
  </si>
  <si>
    <t>P04: Neiroķirurgs</t>
  </si>
  <si>
    <t>P06: Sirds ķirurgs</t>
  </si>
  <si>
    <t>P07: Asinsvadu ķirurgs</t>
  </si>
  <si>
    <t>P08: Urologs</t>
  </si>
  <si>
    <t xml:space="preserve">P12: Bērnu ķirurgs </t>
  </si>
  <si>
    <t xml:space="preserve">   Daugavpils reģionālā slimnīca</t>
  </si>
  <si>
    <t>Bērnu klīniskā universitātes slimnīca</t>
  </si>
  <si>
    <t>P13: Traumatologs, ortopēds</t>
  </si>
  <si>
    <t>Traumatoloģijas un ortopēdijas slimnīca</t>
  </si>
  <si>
    <t xml:space="preserve">P14: Ginekologs, dzemdību speciālists </t>
  </si>
  <si>
    <t>Liepājas reģionālā slimnīca</t>
  </si>
  <si>
    <t>P15: Pediatrs</t>
  </si>
  <si>
    <t xml:space="preserve">P15-A151: Neonatologs </t>
  </si>
  <si>
    <t>P16: Onkologs ķīmijterapeits</t>
  </si>
  <si>
    <t>P17: Hematologs</t>
  </si>
  <si>
    <t>P18: Anesteziologs, reanimatologs</t>
  </si>
  <si>
    <t>Tukuma slimnīca</t>
  </si>
  <si>
    <t>P19: Psihiatrs</t>
  </si>
  <si>
    <t>Nacionālais psihiskās veselības centrs</t>
  </si>
  <si>
    <t>Slimnīca "Ģintermuiža"</t>
  </si>
  <si>
    <t>Piejūras slimnīca</t>
  </si>
  <si>
    <t>Daugavpils psihoneiroloģiskās slimnīcas Aknīstes slimnīca</t>
  </si>
  <si>
    <t xml:space="preserve">P20: Neirologs </t>
  </si>
  <si>
    <t>Nacionālais rehabilitācijas centrs "Vaivari"</t>
  </si>
  <si>
    <t>P22: Oftalmologs</t>
  </si>
  <si>
    <t>P23: Otolaringologs</t>
  </si>
  <si>
    <t>P24: Infektologs</t>
  </si>
  <si>
    <t>P26: Mutes, sejas un žokļu ķirurgs</t>
  </si>
  <si>
    <t xml:space="preserve">P28: Narkologs </t>
  </si>
  <si>
    <t>P29: Laboratorijas ārsts</t>
  </si>
  <si>
    <t xml:space="preserve">P31: Radiologs terapeits </t>
  </si>
  <si>
    <t>P32: Radiologs</t>
  </si>
  <si>
    <t>P33: Patologs</t>
  </si>
  <si>
    <t xml:space="preserve">P39: Neatliekamās medicīnas ārsts </t>
  </si>
  <si>
    <t>P42: Psihoterapeits</t>
  </si>
  <si>
    <t>P44: Medicīnas ģenētiķis</t>
  </si>
  <si>
    <t>P51: Klīniskais fiziologs</t>
  </si>
  <si>
    <t xml:space="preserve">P52: Kardiologs </t>
  </si>
  <si>
    <t>P53: Arodveselības un arodslimību ārsts</t>
  </si>
  <si>
    <t>P54: Fizikālās un rehabilitācijas medicīnas ārsts</t>
  </si>
  <si>
    <t>P56: Reimatologs</t>
  </si>
  <si>
    <t>P57: Pneimonologs</t>
  </si>
  <si>
    <t>P58: Endokrinologs</t>
  </si>
  <si>
    <t>P59: Nefrologs</t>
  </si>
  <si>
    <t>P60: Gastroenterologs</t>
  </si>
  <si>
    <t xml:space="preserve">  Jelgavas pilsētas slimnīca</t>
  </si>
  <si>
    <t>P62: Bērnu neirologs</t>
  </si>
  <si>
    <t>P64: Bērnu psihiatrs</t>
  </si>
  <si>
    <t>PP16: Algologs</t>
  </si>
  <si>
    <t>PP26: Paliatīvās aprūpes speciālists</t>
  </si>
  <si>
    <t>Bauskas slimnīca</t>
  </si>
  <si>
    <t>Cēsu klīnika</t>
  </si>
  <si>
    <t>Liepāja</t>
  </si>
  <si>
    <t>Ventspils</t>
  </si>
  <si>
    <t>Daugavpils</t>
  </si>
  <si>
    <t>Augšdaugavas novads</t>
  </si>
  <si>
    <t>Rēzekne</t>
  </si>
  <si>
    <t>Rēzeknes novads</t>
  </si>
  <si>
    <t>Līvānu novads</t>
  </si>
  <si>
    <t>Krāslavas novads</t>
  </si>
  <si>
    <t>Jelgava</t>
  </si>
  <si>
    <t>Rīga</t>
  </si>
  <si>
    <t>Jūrmala</t>
  </si>
  <si>
    <t>Ķekavas novads</t>
  </si>
  <si>
    <t>Ropažu novads</t>
  </si>
  <si>
    <t>Ģimenes ārstu skaits uz 01.01.2025.</t>
  </si>
  <si>
    <t>2024.gadā</t>
  </si>
  <si>
    <t>Līgumu pārtrauks</t>
  </si>
  <si>
    <t>kopā</t>
  </si>
  <si>
    <t>tai skaitā ģimenes ārsti, kuru vecums 2025.gadā ir 65 gadi un vairāk</t>
  </si>
  <si>
    <t>Līgums pārtraukts - prakse nodota jaunam ģimenes ārstam</t>
  </si>
  <si>
    <t>Līgums pārtraukts - prakse izdalīta</t>
  </si>
  <si>
    <t>Atvērta jaunatvērta prakse bez prakses pārņemšanas</t>
  </si>
  <si>
    <t>2025.gadā</t>
  </si>
  <si>
    <t>2026.gadā</t>
  </si>
  <si>
    <t>2027.gadā</t>
  </si>
  <si>
    <t>2028.gadā</t>
  </si>
  <si>
    <t>2029.gadā</t>
  </si>
  <si>
    <t>Valstī kopā</t>
  </si>
  <si>
    <t>Zemgale kopā</t>
  </si>
  <si>
    <t>Jelgavas novads</t>
  </si>
  <si>
    <t>Dobeles novads</t>
  </si>
  <si>
    <t>Bauskas novads</t>
  </si>
  <si>
    <t>Ogres novads</t>
  </si>
  <si>
    <t>Aizkraukles novads</t>
  </si>
  <si>
    <t>Jēkabpils novads</t>
  </si>
  <si>
    <t>Kurzeme kopā</t>
  </si>
  <si>
    <t>Dienvidkurzemes novads</t>
  </si>
  <si>
    <t>Kuldīgas novads</t>
  </si>
  <si>
    <t>Saldus novads</t>
  </si>
  <si>
    <t>Talsu novads</t>
  </si>
  <si>
    <t>Tukuma novads</t>
  </si>
  <si>
    <t>Ventspils novads</t>
  </si>
  <si>
    <t>Latgale kopā</t>
  </si>
  <si>
    <t>Ludzas novads</t>
  </si>
  <si>
    <t>Preiļu novads</t>
  </si>
  <si>
    <t>Vidzeme kopā</t>
  </si>
  <si>
    <t>Alūksnes novads</t>
  </si>
  <si>
    <t>Balvu novads</t>
  </si>
  <si>
    <t>Cēsu novads</t>
  </si>
  <si>
    <t>Gulbenes novads</t>
  </si>
  <si>
    <t>Limbažu novads</t>
  </si>
  <si>
    <t>Madonas novads</t>
  </si>
  <si>
    <t>Varakļānu novads</t>
  </si>
  <si>
    <t>Smiltenes novads</t>
  </si>
  <si>
    <t>Valkas novads</t>
  </si>
  <si>
    <t>Valmieras novads</t>
  </si>
  <si>
    <t>Rīga kopā</t>
  </si>
  <si>
    <t>Ādažu novads</t>
  </si>
  <si>
    <t>Mārupes novads</t>
  </si>
  <si>
    <t>Olaines novads</t>
  </si>
  <si>
    <t>Salaspils novads</t>
  </si>
  <si>
    <t>Saulkrastu novads</t>
  </si>
  <si>
    <t>Siguldas novads</t>
  </si>
  <si>
    <t>Teritorija</t>
  </si>
  <si>
    <r>
      <t xml:space="preserve">Specialitāte / skaits uz </t>
    </r>
    <r>
      <rPr>
        <b/>
        <sz val="11"/>
        <color theme="1"/>
        <rFont val="Times New Roman"/>
        <family val="1"/>
        <charset val="186"/>
      </rPr>
      <t>01.11.2024.</t>
    </r>
  </si>
  <si>
    <r>
      <t xml:space="preserve">Prognozētie nepieciešamie speciālisti atbalstāmajās ārstniecības iestādēs uz </t>
    </r>
    <r>
      <rPr>
        <b/>
        <sz val="11"/>
        <color theme="1"/>
        <rFont val="Aptos Narrow"/>
        <family val="2"/>
        <scheme val="minor"/>
      </rPr>
      <t xml:space="preserve">01.11.2024      </t>
    </r>
    <r>
      <rPr>
        <sz val="11"/>
        <color theme="1"/>
        <rFont val="Aptos Narrow"/>
        <family val="2"/>
        <charset val="186"/>
        <scheme val="minor"/>
      </rPr>
      <t xml:space="preserve">                                                                                                   </t>
    </r>
  </si>
  <si>
    <r>
      <t xml:space="preserve">Pamatojoties uz ārstniecības iestāžu sniegto informāciju uz </t>
    </r>
    <r>
      <rPr>
        <b/>
        <sz val="11"/>
        <color theme="1"/>
        <rFont val="Aptos Narrow"/>
        <family val="2"/>
        <scheme val="minor"/>
      </rPr>
      <t>01.11.2024</t>
    </r>
  </si>
  <si>
    <t>Ārsta palīgs</t>
  </si>
  <si>
    <t>Māsa</t>
  </si>
  <si>
    <t>Māsas palīgs</t>
  </si>
  <si>
    <t>Vecmāte</t>
  </si>
  <si>
    <r>
      <t xml:space="preserve">Ārsts, ārsta palīgs, māsa, māsas palīgs, vecmāte </t>
    </r>
    <r>
      <rPr>
        <b/>
        <sz val="11"/>
        <color rgb="FF000000"/>
        <rFont val="Times New Roman"/>
        <family val="1"/>
        <charset val="186"/>
      </rPr>
      <t>KOPĀ</t>
    </r>
    <r>
      <rPr>
        <sz val="11"/>
        <color rgb="FF000000"/>
        <rFont val="Times New Roman"/>
        <family val="1"/>
        <charset val="186"/>
      </rPr>
      <t xml:space="preserve"> </t>
    </r>
    <r>
      <rPr>
        <b/>
        <sz val="11"/>
        <color rgb="FF000000"/>
        <rFont val="Times New Roman"/>
        <family val="1"/>
        <charset val="186"/>
      </rPr>
      <t>uz 01.11.2025.</t>
    </r>
  </si>
  <si>
    <r>
      <t>Prognozētie nepieciešamie speciālisti atbalstāmajās ārstniecības iestādēs uz</t>
    </r>
    <r>
      <rPr>
        <b/>
        <i/>
        <sz val="8"/>
        <color rgb="FFFF0000"/>
        <rFont val="Aptos Narrow"/>
        <family val="2"/>
        <scheme val="minor"/>
      </rPr>
      <t xml:space="preserve"> 01.04.2024.     </t>
    </r>
  </si>
  <si>
    <t>PP24: Transfuziologs</t>
  </si>
  <si>
    <t xml:space="preserve">  Daugavpils reģionālā slimnīca</t>
  </si>
  <si>
    <r>
      <t>Prognozētie nepieciešamie speciālisti atbalstāmajās ārstniecības iestādēs uz</t>
    </r>
    <r>
      <rPr>
        <b/>
        <sz val="11"/>
        <color theme="1"/>
        <rFont val="Aptos Narrow"/>
        <family val="2"/>
        <scheme val="minor"/>
      </rPr>
      <t xml:space="preserve"> 01.11.2024       </t>
    </r>
    <r>
      <rPr>
        <sz val="11"/>
        <color theme="1"/>
        <rFont val="Aptos Narrow"/>
        <family val="2"/>
        <charset val="186"/>
        <scheme val="minor"/>
      </rPr>
      <t xml:space="preserve">                                                                                                  </t>
    </r>
  </si>
  <si>
    <t>MNP SIA "Madonas slimnīca"</t>
  </si>
  <si>
    <t>SIA "Ogres rajona slimnīca"</t>
  </si>
  <si>
    <t>Zobārstniecības līgumu skaits uz</t>
  </si>
  <si>
    <t>Rindas garums dienas uz 01.01.2025.</t>
  </si>
  <si>
    <t>Komentāri</t>
  </si>
  <si>
    <t>01.01.2020.</t>
  </si>
  <si>
    <t>01.01.2021.</t>
  </si>
  <si>
    <t>01.01.2022.</t>
  </si>
  <si>
    <t>01.01.2023.</t>
  </si>
  <si>
    <t>01.01.2024.</t>
  </si>
  <si>
    <t>01.01.2025.</t>
  </si>
  <si>
    <t>īsākā</t>
  </si>
  <si>
    <t>Jelgava*</t>
  </si>
  <si>
    <t>ĀI skaits ir samazinājies, bet nav kritisks</t>
  </si>
  <si>
    <t>Jelgavas novads*</t>
  </si>
  <si>
    <t>Neskatoties uz to, ka īsākā rinda ir 20 dienas, pieejamība ir apgrūtināta, jo ir tikai 2 ĀI</t>
  </si>
  <si>
    <t>Liepāja*</t>
  </si>
  <si>
    <t>Dienvidkurzemes novads*</t>
  </si>
  <si>
    <t>Ventspils*</t>
  </si>
  <si>
    <t>Ventspils novads*</t>
  </si>
  <si>
    <t>-</t>
  </si>
  <si>
    <t>Daugavpils*</t>
  </si>
  <si>
    <t>Augšdaugavas novads*</t>
  </si>
  <si>
    <t>ĀI skaits ir samazinājies, bet nav kritisks, jo pakalpojums tiek nodrošināts Daugavpilī, kur ĀI skaits ir palielinājies</t>
  </si>
  <si>
    <t xml:space="preserve">Krāslavas novads </t>
  </si>
  <si>
    <t>Pieejamība ir apgrūtināta, jo ir tikai 2 ĀI un īsākā rinda 65 dienas</t>
  </si>
  <si>
    <t>Neskatoties uz to, ka rinda ir 26 dienas, pieejamība ir apgrūtināta, jo zobārstniecību nodrošina tikai 1 ĀI. Otra ĀI nodrošina tikai higiēnu</t>
  </si>
  <si>
    <t>Rēzekne*</t>
  </si>
  <si>
    <t>Rēzeknes novads*</t>
  </si>
  <si>
    <t>Pieejamība ir apgrūtināta, jo ir tikai 1 ĀI un īsākā rinda 144 dienas</t>
  </si>
  <si>
    <t>Neskatoties uz to, ka īsākā rinda ir 45 dienas, pieejamība ir apgrūtināta, jo 1 ĀI izbeidza līgumu un palika tikai 3 ĀI</t>
  </si>
  <si>
    <t xml:space="preserve"> -</t>
  </si>
  <si>
    <t>Neskatoties uz to, ka īsākā rinda ir 14 dienas, pieejamība ir apgrūtināta, jo 1 ĀI izbeidza līgumu un palika tikai 1 ĀI</t>
  </si>
  <si>
    <t>Pieejamība ir apgrūtināta, jo ir tikai 1 ĀI un īsākā rinda 120 dienas</t>
  </si>
  <si>
    <t>Pieejamība ir apgrūtināta, jo ir tikai 1 ĀI un īsākā rinda 60 dienas</t>
  </si>
  <si>
    <r>
      <t xml:space="preserve">Veselības ministrijas </t>
    </r>
    <r>
      <rPr>
        <u/>
        <sz val="12"/>
        <color theme="1"/>
        <rFont val="Times New Roman"/>
        <family val="1"/>
        <charset val="186"/>
      </rPr>
      <t>«PIRMEPARDATUMS».</t>
    </r>
  </si>
  <si>
    <r>
      <t>rīkojumam Nr. </t>
    </r>
    <r>
      <rPr>
        <u/>
        <sz val="12"/>
        <color theme="1"/>
        <rFont val="Times New Roman"/>
        <family val="1"/>
        <charset val="186"/>
      </rPr>
      <t>«DOKREGNUMURS»</t>
    </r>
  </si>
  <si>
    <t>Dienas</t>
  </si>
  <si>
    <r>
      <t xml:space="preserve">Pielikums </t>
    </r>
    <r>
      <rPr>
        <sz val="12"/>
        <color rgb="FFFF0000"/>
        <rFont val="Times New Roman"/>
        <family val="1"/>
        <charset val="186"/>
      </rPr>
      <t>Nr. 1.2.</t>
    </r>
  </si>
  <si>
    <r>
      <t>Pielikums</t>
    </r>
    <r>
      <rPr>
        <sz val="12"/>
        <color rgb="FFFF0000"/>
        <rFont val="Times New Roman"/>
        <family val="1"/>
        <charset val="186"/>
      </rPr>
      <t xml:space="preserve"> Nr. 1.3.</t>
    </r>
  </si>
  <si>
    <r>
      <t xml:space="preserve">Pielikums </t>
    </r>
    <r>
      <rPr>
        <sz val="12"/>
        <color rgb="FFFF0000"/>
        <rFont val="Times New Roman"/>
        <family val="1"/>
        <charset val="186"/>
      </rPr>
      <t>Nr. 1.4.</t>
    </r>
  </si>
  <si>
    <t>* Vienreizējā kompensācija piešķirama tiem speciālistiem, kuri zobārstniecības , t.sk. higiēnas pakalpojumus nodrošinās novados, kuros pakalpojuma saņemšanas garākais laika periods pārsniedz 60 (ieskaitot) dienas.</t>
  </si>
  <si>
    <r>
      <t>garākā</t>
    </r>
    <r>
      <rPr>
        <sz val="11"/>
        <color theme="1"/>
        <rFont val="Times New Roman"/>
        <family val="1"/>
        <charset val="186"/>
      </rPr>
      <t>*</t>
    </r>
  </si>
  <si>
    <t>Alūksnes slimnīca</t>
  </si>
  <si>
    <t>Alūklsnes slimnīca</t>
  </si>
  <si>
    <t>Alūlksnes slimnīca</t>
  </si>
  <si>
    <t>Pielikums Nr. 1.1</t>
  </si>
  <si>
    <t>P-14-A142 Onkoloģijas ginekologs</t>
  </si>
  <si>
    <t xml:space="preserve">P15-A152: Bērnu infektologs </t>
  </si>
  <si>
    <t xml:space="preserve">P15-A155: bērnu pneimonologs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</si>
</sst>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\"/>
      <charset val="186"/>
    </font>
    <font>
      <sz val="11"/>
      <color rgb="FF000000"/>
      <name val="Times"/>
      <family val="1"/>
    </font>
    <font>
      <b/>
      <sz val="11"/>
      <color rgb="FF000000"/>
      <name val="Times"/>
      <family val="1"/>
    </font>
    <font>
      <sz val="1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  <charset val="186"/>
    </font>
    <font>
      <sz val="11"/>
      <color rgb="FF242424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FF0000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8"/>
      <color theme="1"/>
      <name val="Aptos Narrow"/>
      <family val="2"/>
      <charset val="186"/>
      <scheme val="minor"/>
    </font>
    <font>
      <i/>
      <sz val="8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i/>
      <sz val="8"/>
      <color rgb="FFFF0000"/>
      <name val="Aptos Narrow"/>
      <family val="2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1" fontId="11" fillId="0" borderId="1" xfId="0" applyNumberFormat="1" applyFont="1" applyBorder="1" applyAlignment="1">
      <alignment horizontal="left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vertical="center" wrapText="1"/>
    </xf>
    <xf numFmtId="0" fontId="16" fillId="3" borderId="26" xfId="0" applyFont="1" applyFill="1" applyBorder="1" applyAlignment="1">
      <alignment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vertical="center" wrapText="1"/>
    </xf>
    <xf numFmtId="1" fontId="14" fillId="5" borderId="25" xfId="0" applyNumberFormat="1" applyFont="1" applyFill="1" applyBorder="1" applyAlignment="1">
      <alignment horizontal="center" vertical="center" wrapText="1"/>
    </xf>
    <xf numFmtId="1" fontId="16" fillId="3" borderId="25" xfId="0" applyNumberFormat="1" applyFont="1" applyFill="1" applyBorder="1" applyAlignment="1">
      <alignment horizontal="center" vertical="center" wrapText="1"/>
    </xf>
    <xf numFmtId="1" fontId="15" fillId="3" borderId="25" xfId="0" applyNumberFormat="1" applyFont="1" applyFill="1" applyBorder="1" applyAlignment="1">
      <alignment horizontal="center" vertical="center" wrapText="1"/>
    </xf>
    <xf numFmtId="1" fontId="16" fillId="3" borderId="27" xfId="0" applyNumberFormat="1" applyFont="1" applyFill="1" applyBorder="1" applyAlignment="1">
      <alignment horizontal="center" vertical="center" wrapText="1"/>
    </xf>
    <xf numFmtId="1" fontId="15" fillId="3" borderId="27" xfId="0" applyNumberFormat="1" applyFont="1" applyFill="1" applyBorder="1" applyAlignment="1">
      <alignment horizontal="center" vertical="center" wrapText="1"/>
    </xf>
    <xf numFmtId="1" fontId="16" fillId="3" borderId="2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" fontId="12" fillId="6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1" fontId="6" fillId="0" borderId="0" xfId="0" applyNumberFormat="1" applyFont="1" applyAlignment="1">
      <alignment horizontal="center" vertical="center" wrapText="1"/>
    </xf>
    <xf numFmtId="0" fontId="17" fillId="0" borderId="0" xfId="0" applyFont="1"/>
    <xf numFmtId="0" fontId="3" fillId="0" borderId="1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1" fillId="0" borderId="4" xfId="0" applyFont="1" applyBorder="1" applyAlignment="1">
      <alignment horizontal="left" vertical="center" wrapText="1" indent="1"/>
    </xf>
    <xf numFmtId="1" fontId="11" fillId="0" borderId="4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wrapText="1"/>
    </xf>
    <xf numFmtId="0" fontId="11" fillId="0" borderId="1" xfId="0" applyFont="1" applyBorder="1"/>
    <xf numFmtId="0" fontId="3" fillId="9" borderId="1" xfId="0" applyFont="1" applyFill="1" applyBorder="1"/>
    <xf numFmtId="0" fontId="3" fillId="0" borderId="1" xfId="0" applyFont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9" borderId="1" xfId="0" applyFont="1" applyFill="1" applyBorder="1" applyAlignment="1">
      <alignment horizontal="right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 indent="1"/>
    </xf>
    <xf numFmtId="0" fontId="3" fillId="0" borderId="31" xfId="0" applyFont="1" applyBorder="1" applyAlignment="1">
      <alignment horizontal="center"/>
    </xf>
    <xf numFmtId="0" fontId="6" fillId="0" borderId="0" xfId="0" applyFont="1" applyAlignment="1">
      <alignment horizontal="left" vertical="center" wrapText="1" indent="1"/>
    </xf>
    <xf numFmtId="1" fontId="11" fillId="0" borderId="1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28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6" fillId="6" borderId="0" xfId="0" applyFont="1" applyFill="1" applyAlignment="1">
      <alignment horizontal="right" vertical="center" wrapText="1"/>
    </xf>
    <xf numFmtId="0" fontId="0" fillId="0" borderId="0" xfId="0"/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6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ECDE2420-A236-4EC9-A51D-2F65CF163E58}"/>
    <cellStyle name="Normal 3" xfId="2" xr:uid="{697B9991-A315-49EA-B18A-A1B04D03F5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67811</xdr:colOff>
      <xdr:row>0</xdr:row>
      <xdr:rowOff>0</xdr:rowOff>
    </xdr:from>
    <xdr:to>
      <xdr:col>1</xdr:col>
      <xdr:colOff>2437520</xdr:colOff>
      <xdr:row>4</xdr:row>
      <xdr:rowOff>153861</xdr:rowOff>
    </xdr:to>
    <xdr:pic>
      <xdr:nvPicPr>
        <xdr:cNvPr id="2" name="Attēls 1" descr="Attēls, kurā ir grafika, ekrānuzņēmums, grafiskais dizains, logotips&#10;&#10;Apraksts ģenerēts automātiski">
          <a:extLst>
            <a:ext uri="{FF2B5EF4-FFF2-40B4-BE49-F238E27FC236}">
              <a16:creationId xmlns:a16="http://schemas.microsoft.com/office/drawing/2014/main" id="{A91D306D-2B77-4E98-B622-018224A7E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7811" y="0"/>
          <a:ext cx="2598309" cy="9243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388620</xdr:colOff>
      <xdr:row>0</xdr:row>
      <xdr:rowOff>68580</xdr:rowOff>
    </xdr:from>
    <xdr:to>
      <xdr:col>1</xdr:col>
      <xdr:colOff>2391410</xdr:colOff>
      <xdr:row>3</xdr:row>
      <xdr:rowOff>167249</xdr:rowOff>
    </xdr:to>
    <xdr:pic>
      <xdr:nvPicPr>
        <xdr:cNvPr id="2" name="Attēls 1" descr="Attēls, kurā ir grafika, ekrānuzņēmums, grafiskais dizains, logotips&#10;&#10;Apraksts ģenerēts automātiski">
          <a:extLst>
            <a:ext uri="{FF2B5EF4-FFF2-40B4-BE49-F238E27FC236}">
              <a16:creationId xmlns:a16="http://schemas.microsoft.com/office/drawing/2014/main" id="{F7BDABAD-4773-4F47-9D8C-7AB0B9614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388620" y="68580"/>
          <a:ext cx="1996440" cy="6930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</xdr:row>
      <xdr:rowOff>133350</xdr:rowOff>
    </xdr:from>
    <xdr:to>
      <xdr:col>2</xdr:col>
      <xdr:colOff>850265</xdr:colOff>
      <xdr:row>5</xdr:row>
      <xdr:rowOff>35804</xdr:rowOff>
    </xdr:to>
    <xdr:pic>
      <xdr:nvPicPr>
        <xdr:cNvPr id="2" name="Attēls 1" descr="Attēls, kurā ir grafika, ekrānuzņēmums, grafiskais dizains, logotips&#10;&#10;Apraksts ģenerēts automātiski">
          <a:extLst>
            <a:ext uri="{FF2B5EF4-FFF2-40B4-BE49-F238E27FC236}">
              <a16:creationId xmlns:a16="http://schemas.microsoft.com/office/drawing/2014/main" id="{2D43DAB9-062A-4380-B65F-60A6473F6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85800" y="323850"/>
          <a:ext cx="1964690" cy="6930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3</xdr:row>
      <xdr:rowOff>60960</xdr:rowOff>
    </xdr:from>
    <xdr:to>
      <xdr:col>8</xdr:col>
      <xdr:colOff>463549</xdr:colOff>
      <xdr:row>7</xdr:row>
      <xdr:rowOff>7229</xdr:rowOff>
    </xdr:to>
    <xdr:pic>
      <xdr:nvPicPr>
        <xdr:cNvPr id="2" name="Attēls 1" descr="Attēls, kurā ir grafika, ekrānuzņēmums, grafiskais dizains, logotips&#10;&#10;Apraksts ģenerēts automātiski">
          <a:extLst>
            <a:ext uri="{FF2B5EF4-FFF2-40B4-BE49-F238E27FC236}">
              <a16:creationId xmlns:a16="http://schemas.microsoft.com/office/drawing/2014/main" id="{B877C7D5-8ACE-4FF8-8937-40A4B8123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67640" y="640080"/>
          <a:ext cx="2002790" cy="6930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11F7D-CDCF-4EF8-9D19-9507D86AA1CF}">
  <dimension ref="B1:M272"/>
  <sheetViews>
    <sheetView tabSelected="1" zoomScale="110" zoomScaleNormal="110" workbookViewId="0">
      <selection activeCell="D13" sqref="D13"/>
    </sheetView>
  </sheetViews>
  <sheetFormatPr defaultRowHeight="15"/>
  <cols>
    <col min="1" max="1" width="3.42578125" customWidth="1"/>
    <col min="2" max="2" width="52.5703125" customWidth="1"/>
    <col min="3" max="3" width="13.42578125" customWidth="1"/>
    <col min="4" max="4" width="8.5703125" style="34"/>
  </cols>
  <sheetData>
    <row r="1" spans="2:13" ht="15.75">
      <c r="D1" s="79" t="s">
        <v>229</v>
      </c>
    </row>
    <row r="2" spans="2:13" ht="15.75">
      <c r="D2" s="59" t="s">
        <v>218</v>
      </c>
    </row>
    <row r="3" spans="2:13" ht="15.75">
      <c r="D3" s="59" t="s">
        <v>219</v>
      </c>
    </row>
    <row r="6" spans="2:13" ht="15.75">
      <c r="M6" s="59"/>
    </row>
    <row r="7" spans="2:13">
      <c r="B7" s="31" t="s">
        <v>33</v>
      </c>
      <c r="C7" s="30"/>
      <c r="E7" s="30"/>
      <c r="F7" s="30"/>
    </row>
    <row r="8" spans="2:13">
      <c r="B8" s="31"/>
      <c r="C8" s="30"/>
      <c r="E8" s="30"/>
      <c r="F8" s="30"/>
    </row>
    <row r="9" spans="2:13">
      <c r="B9" s="80" t="s">
        <v>172</v>
      </c>
      <c r="C9" s="80"/>
      <c r="D9" s="80"/>
      <c r="E9" s="80"/>
      <c r="F9" s="80"/>
    </row>
    <row r="10" spans="2:13" ht="17.850000000000001" customHeight="1">
      <c r="B10" s="80" t="s">
        <v>173</v>
      </c>
      <c r="C10" s="80"/>
      <c r="D10" s="80"/>
      <c r="E10" s="80"/>
      <c r="F10" s="80"/>
    </row>
    <row r="12" spans="2:13">
      <c r="B12" s="102" t="s">
        <v>35</v>
      </c>
      <c r="C12" s="102"/>
      <c r="D12" s="35">
        <f>D13+D28+D30+D43+D47+D49+D51+D53+D56+D63+D77+D86+D93+D95+D98+D110+D117+D125+D128+D133+D136+D138+D141+D145+D147+D154+D157+D163+D165+D167+D169+D174+D176+D183+D185+D187+D189+D193+D198+D200+D202+D204+D206+D74+D89+D91</f>
        <v>330</v>
      </c>
    </row>
    <row r="13" spans="2:13">
      <c r="B13" s="103" t="s">
        <v>36</v>
      </c>
      <c r="C13" s="103"/>
      <c r="D13" s="32">
        <f>SUM(C14:C27)</f>
        <v>32</v>
      </c>
    </row>
    <row r="14" spans="2:13">
      <c r="B14" s="4" t="s">
        <v>37</v>
      </c>
      <c r="C14" s="75">
        <f>ROUNDDOWN(6.1,0)</f>
        <v>6</v>
      </c>
    </row>
    <row r="15" spans="2:13">
      <c r="B15" s="5" t="s">
        <v>38</v>
      </c>
      <c r="C15" s="40">
        <f>ROUNDDOWN(2.25,0)</f>
        <v>2</v>
      </c>
    </row>
    <row r="16" spans="2:13">
      <c r="B16" s="6" t="s">
        <v>39</v>
      </c>
      <c r="C16" s="40">
        <v>2</v>
      </c>
    </row>
    <row r="17" spans="2:4">
      <c r="B17" s="6" t="s">
        <v>46</v>
      </c>
      <c r="C17" s="40">
        <v>1</v>
      </c>
    </row>
    <row r="18" spans="2:4">
      <c r="B18" s="6" t="s">
        <v>40</v>
      </c>
      <c r="C18" s="40">
        <v>2</v>
      </c>
    </row>
    <row r="19" spans="2:4">
      <c r="B19" s="6" t="s">
        <v>41</v>
      </c>
      <c r="C19" s="40">
        <f>ROUNDDOWN(5.15,0)</f>
        <v>5</v>
      </c>
    </row>
    <row r="20" spans="2:4">
      <c r="B20" s="6" t="s">
        <v>42</v>
      </c>
      <c r="C20" s="40">
        <v>2</v>
      </c>
    </row>
    <row r="21" spans="2:4">
      <c r="B21" s="6" t="s">
        <v>43</v>
      </c>
      <c r="C21" s="40">
        <v>2</v>
      </c>
    </row>
    <row r="22" spans="2:4">
      <c r="B22" s="6" t="s">
        <v>44</v>
      </c>
      <c r="C22" s="40">
        <v>2</v>
      </c>
    </row>
    <row r="23" spans="2:4">
      <c r="B23" s="6" t="s">
        <v>45</v>
      </c>
      <c r="C23" s="40">
        <v>2</v>
      </c>
    </row>
    <row r="24" spans="2:4">
      <c r="B24" s="6" t="s">
        <v>47</v>
      </c>
      <c r="C24" s="40">
        <v>1</v>
      </c>
    </row>
    <row r="25" spans="2:4">
      <c r="B25" s="6" t="s">
        <v>48</v>
      </c>
      <c r="C25" s="40">
        <v>1</v>
      </c>
    </row>
    <row r="26" spans="2:4">
      <c r="B26" s="7" t="s">
        <v>226</v>
      </c>
      <c r="C26" s="76">
        <v>3</v>
      </c>
    </row>
    <row r="27" spans="2:4">
      <c r="B27" s="7" t="s">
        <v>51</v>
      </c>
      <c r="C27" s="76">
        <v>1</v>
      </c>
    </row>
    <row r="28" spans="2:4">
      <c r="B28" s="91" t="s">
        <v>52</v>
      </c>
      <c r="C28" s="92"/>
      <c r="D28" s="32">
        <f>C29</f>
        <v>0</v>
      </c>
    </row>
    <row r="29" spans="2:4">
      <c r="B29" s="4"/>
      <c r="C29" s="41"/>
    </row>
    <row r="30" spans="2:4">
      <c r="B30" s="99" t="s">
        <v>53</v>
      </c>
      <c r="C30" s="99"/>
      <c r="D30" s="32">
        <f>SUM(C31:C42)</f>
        <v>27</v>
      </c>
    </row>
    <row r="31" spans="2:4">
      <c r="B31" s="6" t="s">
        <v>37</v>
      </c>
      <c r="C31" s="40">
        <f>ROUNDDOWN(7.85,0)</f>
        <v>7</v>
      </c>
    </row>
    <row r="32" spans="2:4">
      <c r="B32" s="6" t="s">
        <v>38</v>
      </c>
      <c r="C32" s="40">
        <f>ROUNDDOWN(5.35,0)</f>
        <v>5</v>
      </c>
    </row>
    <row r="33" spans="2:4">
      <c r="B33" s="6" t="s">
        <v>46</v>
      </c>
      <c r="C33" s="40">
        <v>2</v>
      </c>
    </row>
    <row r="34" spans="2:4">
      <c r="B34" s="6" t="s">
        <v>39</v>
      </c>
      <c r="C34" s="40">
        <v>1</v>
      </c>
    </row>
    <row r="35" spans="2:4">
      <c r="B35" s="6" t="s">
        <v>54</v>
      </c>
      <c r="C35" s="40">
        <f>ROUNDDOWN(1.55,0)</f>
        <v>1</v>
      </c>
    </row>
    <row r="36" spans="2:4">
      <c r="B36" s="6" t="s">
        <v>41</v>
      </c>
      <c r="C36" s="40">
        <f>ROUNDDOWN(2.55,0)</f>
        <v>2</v>
      </c>
    </row>
    <row r="37" spans="2:4">
      <c r="B37" s="6" t="s">
        <v>55</v>
      </c>
      <c r="C37" s="40">
        <v>1</v>
      </c>
    </row>
    <row r="38" spans="2:4">
      <c r="B38" s="6" t="s">
        <v>48</v>
      </c>
      <c r="C38" s="40">
        <v>1</v>
      </c>
    </row>
    <row r="39" spans="2:4">
      <c r="B39" s="6" t="s">
        <v>44</v>
      </c>
      <c r="C39" s="40">
        <v>2</v>
      </c>
    </row>
    <row r="40" spans="2:4">
      <c r="B40" s="6" t="s">
        <v>226</v>
      </c>
      <c r="C40" s="40">
        <v>2</v>
      </c>
    </row>
    <row r="41" spans="2:4">
      <c r="B41" s="6" t="s">
        <v>51</v>
      </c>
      <c r="C41" s="40">
        <v>1</v>
      </c>
    </row>
    <row r="42" spans="2:4">
      <c r="B42" s="8" t="s">
        <v>47</v>
      </c>
      <c r="C42" s="40">
        <v>2</v>
      </c>
    </row>
    <row r="43" spans="2:4">
      <c r="B43" s="100" t="s">
        <v>56</v>
      </c>
      <c r="C43" s="100"/>
      <c r="D43" s="32">
        <f>SUM(C44:C46)</f>
        <v>3</v>
      </c>
    </row>
    <row r="44" spans="2:4">
      <c r="B44" s="6" t="s">
        <v>55</v>
      </c>
      <c r="C44" s="40">
        <v>1</v>
      </c>
    </row>
    <row r="45" spans="2:4">
      <c r="B45" s="6" t="s">
        <v>40</v>
      </c>
      <c r="C45" s="40">
        <v>1</v>
      </c>
    </row>
    <row r="46" spans="2:4">
      <c r="B46" s="6" t="s">
        <v>37</v>
      </c>
      <c r="C46" s="40">
        <f>ROUNDDOWN(1.8,0)</f>
        <v>1</v>
      </c>
    </row>
    <row r="47" spans="2:4">
      <c r="B47" s="100" t="s">
        <v>57</v>
      </c>
      <c r="C47" s="100"/>
      <c r="D47" s="32">
        <f>C48</f>
        <v>1</v>
      </c>
    </row>
    <row r="48" spans="2:4">
      <c r="B48" s="6" t="s">
        <v>38</v>
      </c>
      <c r="C48" s="40">
        <f>ROUNDDOWN(1.2,0)</f>
        <v>1</v>
      </c>
    </row>
    <row r="49" spans="2:4">
      <c r="B49" s="100" t="s">
        <v>58</v>
      </c>
      <c r="C49" s="100"/>
      <c r="D49" s="32">
        <f>C50</f>
        <v>1</v>
      </c>
    </row>
    <row r="50" spans="2:4">
      <c r="B50" s="6" t="s">
        <v>38</v>
      </c>
      <c r="C50" s="40">
        <f>ROUNDDOWN(1.3,0)</f>
        <v>1</v>
      </c>
    </row>
    <row r="51" spans="2:4">
      <c r="B51" s="89" t="s">
        <v>59</v>
      </c>
      <c r="C51" s="89"/>
      <c r="D51" s="32">
        <f>C52</f>
        <v>0</v>
      </c>
    </row>
    <row r="52" spans="2:4">
      <c r="B52" s="6"/>
      <c r="C52" s="40"/>
    </row>
    <row r="53" spans="2:4">
      <c r="B53" s="104" t="s">
        <v>60</v>
      </c>
      <c r="C53" s="104"/>
      <c r="D53" s="32">
        <f>SUM(C54:C55)</f>
        <v>7</v>
      </c>
    </row>
    <row r="54" spans="2:4">
      <c r="B54" s="9" t="s">
        <v>181</v>
      </c>
      <c r="C54" s="78">
        <v>1</v>
      </c>
    </row>
    <row r="55" spans="2:4">
      <c r="B55" s="5" t="s">
        <v>62</v>
      </c>
      <c r="C55" s="74">
        <f>ROUNDDOWN(6.5,0)</f>
        <v>6</v>
      </c>
    </row>
    <row r="56" spans="2:4">
      <c r="B56" s="100" t="s">
        <v>63</v>
      </c>
      <c r="C56" s="100"/>
      <c r="D56" s="32">
        <f>SUM(C57:C62)</f>
        <v>10</v>
      </c>
    </row>
    <row r="57" spans="2:4">
      <c r="B57" s="6" t="s">
        <v>37</v>
      </c>
      <c r="C57" s="40">
        <f>ROUNDDOWN(1.45,0)</f>
        <v>1</v>
      </c>
    </row>
    <row r="58" spans="2:4">
      <c r="B58" s="6" t="s">
        <v>55</v>
      </c>
      <c r="C58" s="40">
        <f>ROUNDDOWN(1.45,0)</f>
        <v>1</v>
      </c>
    </row>
    <row r="59" spans="2:4">
      <c r="B59" s="6" t="s">
        <v>64</v>
      </c>
      <c r="C59" s="40">
        <f>ROUNDDOWN(1.45,0)</f>
        <v>1</v>
      </c>
    </row>
    <row r="60" spans="2:4">
      <c r="B60" s="6" t="s">
        <v>46</v>
      </c>
      <c r="C60" s="40">
        <v>2</v>
      </c>
    </row>
    <row r="61" spans="2:4">
      <c r="B61" s="6" t="s">
        <v>42</v>
      </c>
      <c r="C61" s="40">
        <v>2</v>
      </c>
    </row>
    <row r="62" spans="2:4">
      <c r="B62" s="6" t="s">
        <v>45</v>
      </c>
      <c r="C62" s="40">
        <v>3</v>
      </c>
    </row>
    <row r="63" spans="2:4">
      <c r="B63" s="100" t="s">
        <v>65</v>
      </c>
      <c r="C63" s="100"/>
      <c r="D63" s="32">
        <f>SUM(C64:C73)</f>
        <v>18</v>
      </c>
    </row>
    <row r="64" spans="2:4">
      <c r="B64" s="6" t="s">
        <v>37</v>
      </c>
      <c r="C64" s="40">
        <f>ROUNDDOWN(3.15,0)</f>
        <v>3</v>
      </c>
    </row>
    <row r="65" spans="2:4">
      <c r="B65" s="6" t="s">
        <v>38</v>
      </c>
      <c r="C65" s="40">
        <f>ROUNDDOWN(1.15,0)</f>
        <v>1</v>
      </c>
    </row>
    <row r="66" spans="2:4">
      <c r="B66" s="6" t="s">
        <v>62</v>
      </c>
      <c r="C66" s="40">
        <f>ROUNDDOWN(1.14,0)</f>
        <v>1</v>
      </c>
    </row>
    <row r="67" spans="2:4">
      <c r="B67" s="6" t="s">
        <v>66</v>
      </c>
      <c r="C67" s="40">
        <f>ROUNDDOWN(1.14,0)</f>
        <v>1</v>
      </c>
    </row>
    <row r="68" spans="2:4">
      <c r="B68" s="6" t="s">
        <v>55</v>
      </c>
      <c r="C68" s="40">
        <f>ROUNDDOWN(1.14,0)</f>
        <v>1</v>
      </c>
    </row>
    <row r="69" spans="2:4">
      <c r="B69" s="6" t="s">
        <v>48</v>
      </c>
      <c r="C69" s="40">
        <f>ROUNDDOWN(1.14,0)</f>
        <v>1</v>
      </c>
    </row>
    <row r="70" spans="2:4">
      <c r="B70" s="6" t="s">
        <v>54</v>
      </c>
      <c r="C70" s="40">
        <f>ROUNDDOWN(1.1,0)</f>
        <v>1</v>
      </c>
    </row>
    <row r="71" spans="2:4">
      <c r="B71" s="6" t="s">
        <v>41</v>
      </c>
      <c r="C71" s="40">
        <f>ROUNDDOWN(4.5,0)</f>
        <v>4</v>
      </c>
    </row>
    <row r="72" spans="2:4">
      <c r="B72" s="6" t="s">
        <v>42</v>
      </c>
      <c r="C72" s="40">
        <v>3</v>
      </c>
    </row>
    <row r="73" spans="2:4">
      <c r="B73" s="6" t="s">
        <v>43</v>
      </c>
      <c r="C73" s="40">
        <v>2</v>
      </c>
    </row>
    <row r="74" spans="2:4">
      <c r="B74" s="120" t="s">
        <v>230</v>
      </c>
      <c r="C74" s="120"/>
      <c r="D74" s="32">
        <f>C75+C76</f>
        <v>2</v>
      </c>
    </row>
    <row r="75" spans="2:4">
      <c r="B75" s="4" t="s">
        <v>38</v>
      </c>
      <c r="C75" s="41">
        <v>1</v>
      </c>
    </row>
    <row r="76" spans="2:4">
      <c r="B76" s="4" t="s">
        <v>55</v>
      </c>
      <c r="C76" s="41">
        <v>1</v>
      </c>
    </row>
    <row r="77" spans="2:4">
      <c r="B77" s="119" t="s">
        <v>67</v>
      </c>
      <c r="C77" s="119"/>
      <c r="D77" s="32">
        <f>SUM(C78:C85)</f>
        <v>13</v>
      </c>
    </row>
    <row r="78" spans="2:4">
      <c r="B78" s="6" t="s">
        <v>55</v>
      </c>
      <c r="C78" s="40">
        <f>ROUNDDOWN(1.5,0)</f>
        <v>1</v>
      </c>
    </row>
    <row r="79" spans="2:4">
      <c r="B79" s="6" t="s">
        <v>42</v>
      </c>
      <c r="C79" s="40">
        <f>ROUNDDOWN(1.5,0)</f>
        <v>1</v>
      </c>
    </row>
    <row r="80" spans="2:4">
      <c r="B80" s="6" t="s">
        <v>43</v>
      </c>
      <c r="C80" s="40">
        <f>ROUNDDOWN(1.5,0)</f>
        <v>1</v>
      </c>
    </row>
    <row r="81" spans="2:4">
      <c r="B81" s="6" t="s">
        <v>48</v>
      </c>
      <c r="C81" s="40">
        <f>ROUNDDOWN(1.5,0)</f>
        <v>1</v>
      </c>
    </row>
    <row r="82" spans="2:4">
      <c r="B82" s="6" t="s">
        <v>62</v>
      </c>
      <c r="C82" s="40">
        <f>ROUNDDOWN(5.85,0)</f>
        <v>5</v>
      </c>
    </row>
    <row r="83" spans="2:4">
      <c r="B83" s="6" t="s">
        <v>226</v>
      </c>
      <c r="C83" s="40">
        <v>1</v>
      </c>
    </row>
    <row r="84" spans="2:4">
      <c r="B84" s="6" t="s">
        <v>54</v>
      </c>
      <c r="C84" s="40">
        <f>ROUNDDOWN(2.1,0)</f>
        <v>2</v>
      </c>
    </row>
    <row r="85" spans="2:4">
      <c r="B85" s="7" t="s">
        <v>40</v>
      </c>
      <c r="C85" s="76">
        <f>ROUNDDOWN(1.5,0)</f>
        <v>1</v>
      </c>
    </row>
    <row r="86" spans="2:4">
      <c r="B86" s="98" t="s">
        <v>68</v>
      </c>
      <c r="C86" s="98"/>
      <c r="D86" s="32">
        <f>SUM(C87:C88)</f>
        <v>2</v>
      </c>
    </row>
    <row r="87" spans="2:4">
      <c r="B87" s="6" t="s">
        <v>62</v>
      </c>
      <c r="C87" s="71">
        <v>1</v>
      </c>
      <c r="D87" s="32"/>
    </row>
    <row r="88" spans="2:4">
      <c r="B88" s="70" t="s">
        <v>41</v>
      </c>
      <c r="C88" s="77">
        <f>ROUNDDOWN(1.5,0)</f>
        <v>1</v>
      </c>
    </row>
    <row r="89" spans="2:4">
      <c r="B89" s="121" t="s">
        <v>231</v>
      </c>
      <c r="C89" s="121"/>
      <c r="D89" s="32">
        <f>C90</f>
        <v>1</v>
      </c>
    </row>
    <row r="90" spans="2:4">
      <c r="B90" s="4" t="s">
        <v>62</v>
      </c>
      <c r="C90" s="41">
        <v>1</v>
      </c>
    </row>
    <row r="91" spans="2:4">
      <c r="B91" s="121" t="s">
        <v>232</v>
      </c>
      <c r="C91" s="121"/>
      <c r="D91" s="32">
        <f>C92</f>
        <v>1</v>
      </c>
    </row>
    <row r="92" spans="2:4">
      <c r="B92" s="4" t="s">
        <v>62</v>
      </c>
      <c r="C92" s="41">
        <v>1</v>
      </c>
    </row>
    <row r="93" spans="2:4">
      <c r="B93" s="122" t="s">
        <v>69</v>
      </c>
      <c r="C93" s="122"/>
      <c r="D93" s="32">
        <f>C94</f>
        <v>1</v>
      </c>
    </row>
    <row r="94" spans="2:4">
      <c r="B94" s="10" t="s">
        <v>55</v>
      </c>
      <c r="C94" s="41">
        <v>1</v>
      </c>
    </row>
    <row r="95" spans="2:4">
      <c r="B95" s="99" t="s">
        <v>70</v>
      </c>
      <c r="C95" s="99"/>
      <c r="D95" s="32">
        <f>SUM(C96:C97)</f>
        <v>3</v>
      </c>
    </row>
    <row r="96" spans="2:4">
      <c r="B96" s="6" t="s">
        <v>55</v>
      </c>
      <c r="C96" s="40">
        <v>1</v>
      </c>
    </row>
    <row r="97" spans="2:4">
      <c r="B97" s="6" t="s">
        <v>37</v>
      </c>
      <c r="C97" s="40">
        <f>ROUNDDOWN(2.5,0)</f>
        <v>2</v>
      </c>
    </row>
    <row r="98" spans="2:4">
      <c r="B98" s="100" t="s">
        <v>71</v>
      </c>
      <c r="C98" s="100"/>
      <c r="D98" s="32">
        <f>SUM(C99:C109)</f>
        <v>38</v>
      </c>
    </row>
    <row r="99" spans="2:4">
      <c r="B99" s="6" t="s">
        <v>37</v>
      </c>
      <c r="C99" s="40">
        <f>ROUNDDOWN(9.775,0)</f>
        <v>9</v>
      </c>
    </row>
    <row r="100" spans="2:4">
      <c r="B100" s="6" t="s">
        <v>38</v>
      </c>
      <c r="C100" s="40">
        <f>ROUNDDOWN(15.96,0)</f>
        <v>15</v>
      </c>
    </row>
    <row r="101" spans="2:4">
      <c r="B101" s="6" t="s">
        <v>62</v>
      </c>
      <c r="C101" s="40">
        <f>ROUNDDOWN(2.01,0)</f>
        <v>2</v>
      </c>
    </row>
    <row r="102" spans="2:4">
      <c r="B102" s="6" t="s">
        <v>54</v>
      </c>
      <c r="C102" s="40">
        <v>2</v>
      </c>
    </row>
    <row r="103" spans="2:4">
      <c r="B103" s="6" t="s">
        <v>40</v>
      </c>
      <c r="C103" s="40">
        <f>ROUNDDOWN(3.25,0)</f>
        <v>3</v>
      </c>
    </row>
    <row r="104" spans="2:4">
      <c r="B104" s="7" t="s">
        <v>41</v>
      </c>
      <c r="C104" s="40">
        <f>ROUNDDOWN(1.25,0)</f>
        <v>1</v>
      </c>
    </row>
    <row r="105" spans="2:4">
      <c r="B105" s="4" t="s">
        <v>46</v>
      </c>
      <c r="C105" s="40">
        <f>ROUNDDOWN(1.25,0)</f>
        <v>1</v>
      </c>
    </row>
    <row r="106" spans="2:4">
      <c r="B106" s="4" t="s">
        <v>48</v>
      </c>
      <c r="C106" s="40">
        <f>ROUNDDOWN(1.25,0)</f>
        <v>1</v>
      </c>
    </row>
    <row r="107" spans="2:4">
      <c r="B107" s="4" t="s">
        <v>226</v>
      </c>
      <c r="C107" s="40">
        <v>1</v>
      </c>
    </row>
    <row r="108" spans="2:4">
      <c r="B108" s="4" t="s">
        <v>72</v>
      </c>
      <c r="C108" s="40">
        <f>ROUNDDOWN(1.25,0)</f>
        <v>1</v>
      </c>
    </row>
    <row r="109" spans="2:4">
      <c r="B109" s="5" t="s">
        <v>42</v>
      </c>
      <c r="C109" s="40">
        <v>2</v>
      </c>
    </row>
    <row r="110" spans="2:4">
      <c r="B110" s="89" t="s">
        <v>73</v>
      </c>
      <c r="C110" s="89"/>
      <c r="D110" s="32">
        <f>SUM(C111:C116)</f>
        <v>35</v>
      </c>
    </row>
    <row r="111" spans="2:4">
      <c r="B111" s="6" t="s">
        <v>74</v>
      </c>
      <c r="C111" s="40">
        <v>4</v>
      </c>
    </row>
    <row r="112" spans="2:4">
      <c r="B112" s="6" t="s">
        <v>49</v>
      </c>
      <c r="C112" s="40">
        <v>4</v>
      </c>
    </row>
    <row r="113" spans="2:4">
      <c r="B113" s="6" t="s">
        <v>75</v>
      </c>
      <c r="C113" s="40">
        <f>ROUNDDOWN(5.8,0)</f>
        <v>5</v>
      </c>
    </row>
    <row r="114" spans="2:4">
      <c r="B114" s="6" t="s">
        <v>76</v>
      </c>
      <c r="C114" s="40">
        <v>8</v>
      </c>
    </row>
    <row r="115" spans="2:4">
      <c r="B115" s="6" t="s">
        <v>50</v>
      </c>
      <c r="C115" s="40">
        <v>10</v>
      </c>
    </row>
    <row r="116" spans="2:4">
      <c r="B116" s="6" t="s">
        <v>77</v>
      </c>
      <c r="C116" s="40">
        <v>4</v>
      </c>
    </row>
    <row r="117" spans="2:4">
      <c r="B117" s="87" t="s">
        <v>78</v>
      </c>
      <c r="C117" s="87"/>
      <c r="D117" s="32">
        <f>SUM(C118:C124)</f>
        <v>18</v>
      </c>
    </row>
    <row r="118" spans="2:4">
      <c r="B118" s="4" t="s">
        <v>46</v>
      </c>
      <c r="C118" s="40">
        <v>1</v>
      </c>
    </row>
    <row r="119" spans="2:4">
      <c r="B119" s="4" t="s">
        <v>54</v>
      </c>
      <c r="C119" s="40">
        <v>1</v>
      </c>
    </row>
    <row r="120" spans="2:4">
      <c r="B120" s="5" t="s">
        <v>37</v>
      </c>
      <c r="C120" s="40">
        <f>ROUNDDOWN(3.5,0)</f>
        <v>3</v>
      </c>
    </row>
    <row r="121" spans="2:4">
      <c r="B121" s="6" t="s">
        <v>38</v>
      </c>
      <c r="C121" s="40">
        <f>ROUNDDOWN(6.1,0)</f>
        <v>6</v>
      </c>
    </row>
    <row r="122" spans="2:4">
      <c r="B122" s="6" t="s">
        <v>66</v>
      </c>
      <c r="C122" s="40">
        <f>ROUNDDOWN(2.79,0)</f>
        <v>2</v>
      </c>
    </row>
    <row r="123" spans="2:4">
      <c r="B123" s="6" t="s">
        <v>41</v>
      </c>
      <c r="C123" s="40">
        <f>ROUNDDOWN(3.65,0)</f>
        <v>3</v>
      </c>
    </row>
    <row r="124" spans="2:4">
      <c r="B124" s="6" t="s">
        <v>42</v>
      </c>
      <c r="C124" s="40">
        <v>2</v>
      </c>
    </row>
    <row r="125" spans="2:4">
      <c r="B125" s="87" t="s">
        <v>80</v>
      </c>
      <c r="C125" s="87"/>
      <c r="D125" s="32">
        <f>SUM(C126:C127)</f>
        <v>2</v>
      </c>
    </row>
    <row r="126" spans="2:4">
      <c r="B126" s="4" t="s">
        <v>55</v>
      </c>
      <c r="C126" s="40">
        <f>ROUNDDOWN(1.538,0)</f>
        <v>1</v>
      </c>
    </row>
    <row r="127" spans="2:4">
      <c r="B127" s="5" t="s">
        <v>37</v>
      </c>
      <c r="C127" s="40">
        <f>ROUNDDOWN(1.538,0)</f>
        <v>1</v>
      </c>
    </row>
    <row r="128" spans="2:4">
      <c r="B128" s="87" t="s">
        <v>81</v>
      </c>
      <c r="C128" s="87"/>
      <c r="D128" s="32">
        <f>SUM(C129:C132)</f>
        <v>4</v>
      </c>
    </row>
    <row r="129" spans="2:4">
      <c r="B129" s="4" t="s">
        <v>66</v>
      </c>
      <c r="C129" s="40">
        <f>ROUNDDOWN(1.538,0)</f>
        <v>1</v>
      </c>
    </row>
    <row r="130" spans="2:4">
      <c r="B130" s="4" t="s">
        <v>46</v>
      </c>
      <c r="C130" s="40">
        <f>ROUNDDOWN(1.538,0)</f>
        <v>1</v>
      </c>
    </row>
    <row r="131" spans="2:4">
      <c r="B131" s="4" t="s">
        <v>55</v>
      </c>
      <c r="C131" s="40">
        <f>ROUNDDOWN(1.538,0)</f>
        <v>1</v>
      </c>
    </row>
    <row r="132" spans="2:4">
      <c r="B132" s="5" t="s">
        <v>37</v>
      </c>
      <c r="C132" s="40">
        <f>ROUNDDOWN(1.5,0)</f>
        <v>1</v>
      </c>
    </row>
    <row r="133" spans="2:4">
      <c r="B133" s="86" t="s">
        <v>82</v>
      </c>
      <c r="C133" s="86"/>
      <c r="D133" s="32">
        <f>SUM(C134:C135)</f>
        <v>2</v>
      </c>
    </row>
    <row r="134" spans="2:4">
      <c r="B134" s="4" t="s">
        <v>40</v>
      </c>
      <c r="C134" s="41">
        <v>1</v>
      </c>
    </row>
    <row r="135" spans="2:4">
      <c r="B135" s="5" t="s">
        <v>37</v>
      </c>
      <c r="C135" s="74">
        <f>ROUNDDOWN(1.8,0)</f>
        <v>1</v>
      </c>
    </row>
    <row r="136" spans="2:4">
      <c r="B136" s="86" t="s">
        <v>83</v>
      </c>
      <c r="C136" s="86"/>
      <c r="D136" s="32">
        <f>C137</f>
        <v>0</v>
      </c>
    </row>
    <row r="137" spans="2:4">
      <c r="B137" s="11"/>
      <c r="C137" s="41"/>
    </row>
    <row r="138" spans="2:4">
      <c r="B138" s="101" t="s">
        <v>84</v>
      </c>
      <c r="C138" s="101"/>
      <c r="D138" s="32">
        <f>SUM(C139:C140)</f>
        <v>2</v>
      </c>
    </row>
    <row r="139" spans="2:4">
      <c r="B139" s="4" t="s">
        <v>55</v>
      </c>
      <c r="C139" s="41">
        <v>1</v>
      </c>
    </row>
    <row r="140" spans="2:4">
      <c r="B140" s="4" t="s">
        <v>75</v>
      </c>
      <c r="C140" s="74">
        <f>ROUNDDOWN(1.8,0)</f>
        <v>1</v>
      </c>
    </row>
    <row r="141" spans="2:4">
      <c r="B141" s="97" t="s">
        <v>85</v>
      </c>
      <c r="C141" s="97"/>
      <c r="D141" s="32">
        <f>SUM(C142:C144)</f>
        <v>6</v>
      </c>
    </row>
    <row r="142" spans="2:4">
      <c r="B142" s="6" t="s">
        <v>37</v>
      </c>
      <c r="C142" s="40">
        <f>ROUNDDOWN(3.1,0)</f>
        <v>3</v>
      </c>
    </row>
    <row r="143" spans="2:4">
      <c r="B143" s="7" t="s">
        <v>38</v>
      </c>
      <c r="C143" s="40">
        <f>ROUNDDOWN(2.65,0)</f>
        <v>2</v>
      </c>
    </row>
    <row r="144" spans="2:4">
      <c r="B144" s="4" t="s">
        <v>55</v>
      </c>
      <c r="C144" s="75">
        <v>1</v>
      </c>
    </row>
    <row r="145" spans="2:4">
      <c r="B145" s="86" t="s">
        <v>86</v>
      </c>
      <c r="C145" s="86"/>
      <c r="D145" s="32">
        <f>C146</f>
        <v>1</v>
      </c>
    </row>
    <row r="146" spans="2:4">
      <c r="B146" s="4" t="s">
        <v>38</v>
      </c>
      <c r="C146" s="41">
        <v>1</v>
      </c>
    </row>
    <row r="147" spans="2:4">
      <c r="B147" s="93" t="s">
        <v>87</v>
      </c>
      <c r="C147" s="93"/>
      <c r="D147" s="32">
        <f>SUM(C148:C153)</f>
        <v>11</v>
      </c>
    </row>
    <row r="148" spans="2:4">
      <c r="B148" s="7" t="s">
        <v>37</v>
      </c>
      <c r="C148" s="40">
        <f>ROUNDDOWN(6.275,0)</f>
        <v>6</v>
      </c>
    </row>
    <row r="149" spans="2:4">
      <c r="B149" s="4" t="s">
        <v>66</v>
      </c>
      <c r="C149" s="75">
        <v>1</v>
      </c>
    </row>
    <row r="150" spans="2:4">
      <c r="B150" s="4" t="s">
        <v>44</v>
      </c>
      <c r="C150" s="75">
        <v>1</v>
      </c>
    </row>
    <row r="151" spans="2:4">
      <c r="B151" s="72" t="s">
        <v>226</v>
      </c>
      <c r="C151" s="75">
        <v>1</v>
      </c>
    </row>
    <row r="152" spans="2:4">
      <c r="B152" s="5" t="s">
        <v>46</v>
      </c>
      <c r="C152" s="40">
        <f>ROUNDDOWN(1.5,0)</f>
        <v>1</v>
      </c>
    </row>
    <row r="153" spans="2:4">
      <c r="B153" s="6" t="s">
        <v>41</v>
      </c>
      <c r="C153" s="40">
        <f>ROUNDDOWN(1.9,0)</f>
        <v>1</v>
      </c>
    </row>
    <row r="154" spans="2:4">
      <c r="B154" s="89" t="s">
        <v>88</v>
      </c>
      <c r="C154" s="89"/>
      <c r="D154" s="32">
        <f>SUM(C155:C156)</f>
        <v>2</v>
      </c>
    </row>
    <row r="155" spans="2:4">
      <c r="B155" s="7" t="s">
        <v>38</v>
      </c>
      <c r="C155" s="76">
        <f>ROUNDDOWN(1.55,0)</f>
        <v>1</v>
      </c>
    </row>
    <row r="156" spans="2:4">
      <c r="B156" s="4" t="s">
        <v>55</v>
      </c>
      <c r="C156" s="41">
        <v>1</v>
      </c>
    </row>
    <row r="157" spans="2:4">
      <c r="B157" s="93" t="s">
        <v>89</v>
      </c>
      <c r="C157" s="93"/>
      <c r="D157" s="32">
        <f>SUM(C158:C162)</f>
        <v>40</v>
      </c>
    </row>
    <row r="158" spans="2:4">
      <c r="B158" s="6" t="s">
        <v>37</v>
      </c>
      <c r="C158" s="40">
        <f>ROUNDDOWN(9.57,0)</f>
        <v>9</v>
      </c>
    </row>
    <row r="159" spans="2:4">
      <c r="B159" s="6" t="s">
        <v>38</v>
      </c>
      <c r="C159" s="40">
        <v>21</v>
      </c>
    </row>
    <row r="160" spans="2:4">
      <c r="B160" s="7" t="s">
        <v>41</v>
      </c>
      <c r="C160" s="40">
        <f>ROUNDDOWN(4.75,0)</f>
        <v>4</v>
      </c>
    </row>
    <row r="161" spans="2:4">
      <c r="B161" s="4" t="s">
        <v>66</v>
      </c>
      <c r="C161" s="75">
        <v>1</v>
      </c>
    </row>
    <row r="162" spans="2:4">
      <c r="B162" s="5" t="s">
        <v>43</v>
      </c>
      <c r="C162" s="40">
        <v>5</v>
      </c>
    </row>
    <row r="163" spans="2:4">
      <c r="B163" s="86" t="s">
        <v>90</v>
      </c>
      <c r="C163" s="86"/>
      <c r="D163" s="32">
        <f>C164</f>
        <v>1</v>
      </c>
    </row>
    <row r="164" spans="2:4">
      <c r="B164" s="4" t="s">
        <v>75</v>
      </c>
      <c r="C164" s="41">
        <v>1</v>
      </c>
    </row>
    <row r="165" spans="2:4">
      <c r="B165" s="93" t="s">
        <v>91</v>
      </c>
      <c r="C165" s="93"/>
      <c r="D165" s="32">
        <f>C166</f>
        <v>4</v>
      </c>
    </row>
    <row r="166" spans="2:4">
      <c r="B166" s="7" t="s">
        <v>62</v>
      </c>
      <c r="C166" s="76">
        <f>ROUNDDOWN(4.475,0)</f>
        <v>4</v>
      </c>
    </row>
    <row r="167" spans="2:4">
      <c r="B167" s="91" t="s">
        <v>92</v>
      </c>
      <c r="C167" s="92"/>
      <c r="D167" s="32">
        <f>C168</f>
        <v>1</v>
      </c>
    </row>
    <row r="168" spans="2:4">
      <c r="B168" s="4" t="s">
        <v>37</v>
      </c>
      <c r="C168" s="41">
        <v>1</v>
      </c>
    </row>
    <row r="169" spans="2:4">
      <c r="B169" s="90" t="s">
        <v>93</v>
      </c>
      <c r="C169" s="90"/>
      <c r="D169" s="32">
        <f>SUM(C170:C173)</f>
        <v>13</v>
      </c>
    </row>
    <row r="170" spans="2:4">
      <c r="B170" s="4" t="s">
        <v>41</v>
      </c>
      <c r="C170" s="41">
        <v>1</v>
      </c>
    </row>
    <row r="171" spans="2:4">
      <c r="B171" s="5" t="s">
        <v>37</v>
      </c>
      <c r="C171" s="74">
        <f>ROUNDDOWN(3.5,0)</f>
        <v>3</v>
      </c>
    </row>
    <row r="172" spans="2:4">
      <c r="B172" s="6" t="s">
        <v>38</v>
      </c>
      <c r="C172" s="40">
        <f>ROUNDDOWN(7.15,0)</f>
        <v>7</v>
      </c>
    </row>
    <row r="173" spans="2:4">
      <c r="B173" s="6" t="s">
        <v>55</v>
      </c>
      <c r="C173" s="40">
        <v>2</v>
      </c>
    </row>
    <row r="174" spans="2:4">
      <c r="B174" s="86" t="s">
        <v>94</v>
      </c>
      <c r="C174" s="86"/>
      <c r="D174" s="32">
        <f>C175</f>
        <v>0</v>
      </c>
    </row>
    <row r="175" spans="2:4">
      <c r="B175" s="4"/>
      <c r="C175" s="41"/>
    </row>
    <row r="176" spans="2:4">
      <c r="B176" s="96" t="s">
        <v>95</v>
      </c>
      <c r="C176" s="96"/>
      <c r="D176" s="32">
        <f>SUM(C177:C182)</f>
        <v>8</v>
      </c>
    </row>
    <row r="177" spans="2:4">
      <c r="B177" s="4" t="s">
        <v>55</v>
      </c>
      <c r="C177" s="75">
        <f>ROUNDDOWN(1.6,0)</f>
        <v>1</v>
      </c>
    </row>
    <row r="178" spans="2:4">
      <c r="B178" s="5" t="s">
        <v>37</v>
      </c>
      <c r="C178" s="40">
        <f>ROUNDDOWN(1.6,0)</f>
        <v>1</v>
      </c>
    </row>
    <row r="179" spans="2:4">
      <c r="B179" s="6" t="s">
        <v>38</v>
      </c>
      <c r="C179" s="40">
        <f>ROUNDDOWN(1.7,0)</f>
        <v>1</v>
      </c>
    </row>
    <row r="180" spans="2:4">
      <c r="B180" s="6" t="s">
        <v>62</v>
      </c>
      <c r="C180" s="40">
        <f>ROUNDDOWN(1.4,0)</f>
        <v>1</v>
      </c>
    </row>
    <row r="181" spans="2:4">
      <c r="B181" s="6" t="s">
        <v>54</v>
      </c>
      <c r="C181" s="40">
        <f>ROUNDDOWN(1.55,0)</f>
        <v>1</v>
      </c>
    </row>
    <row r="182" spans="2:4">
      <c r="B182" s="6" t="s">
        <v>79</v>
      </c>
      <c r="C182" s="40">
        <f>ROUNDDOWN(3.25,0)</f>
        <v>3</v>
      </c>
    </row>
    <row r="183" spans="2:4">
      <c r="B183" s="86" t="s">
        <v>96</v>
      </c>
      <c r="C183" s="86"/>
      <c r="D183" s="32">
        <f>SUM(C184:C184)</f>
        <v>1</v>
      </c>
    </row>
    <row r="184" spans="2:4">
      <c r="B184" s="5" t="s">
        <v>38</v>
      </c>
      <c r="C184" s="74">
        <f>ROUNDDOWN(1.5,0)</f>
        <v>1</v>
      </c>
    </row>
    <row r="185" spans="2:4">
      <c r="B185" s="86" t="s">
        <v>97</v>
      </c>
      <c r="C185" s="86"/>
      <c r="D185" s="32">
        <f>SUM(C186:C186)</f>
        <v>3</v>
      </c>
    </row>
    <row r="186" spans="2:4">
      <c r="B186" s="5" t="s">
        <v>37</v>
      </c>
      <c r="C186" s="74">
        <f>ROUNDDOWN(3.1,0)</f>
        <v>3</v>
      </c>
    </row>
    <row r="187" spans="2:4">
      <c r="B187" s="86" t="s">
        <v>98</v>
      </c>
      <c r="C187" s="86"/>
      <c r="D187" s="32">
        <f>SUM(C188:C188)</f>
        <v>1</v>
      </c>
    </row>
    <row r="188" spans="2:4">
      <c r="B188" s="4" t="s">
        <v>41</v>
      </c>
      <c r="C188" s="41">
        <v>1</v>
      </c>
    </row>
    <row r="189" spans="2:4">
      <c r="B189" s="87" t="s">
        <v>99</v>
      </c>
      <c r="C189" s="87"/>
      <c r="D189" s="32">
        <f>SUM(C190:C192)</f>
        <v>3</v>
      </c>
    </row>
    <row r="190" spans="2:4">
      <c r="B190" s="12" t="s">
        <v>66</v>
      </c>
      <c r="C190" s="41">
        <v>1</v>
      </c>
    </row>
    <row r="191" spans="2:4">
      <c r="B191" s="12" t="s">
        <v>55</v>
      </c>
      <c r="C191" s="41">
        <v>1</v>
      </c>
    </row>
    <row r="192" spans="2:4">
      <c r="B192" s="12" t="s">
        <v>43</v>
      </c>
      <c r="C192" s="41">
        <v>1</v>
      </c>
    </row>
    <row r="193" spans="2:4">
      <c r="B193" s="88" t="s">
        <v>100</v>
      </c>
      <c r="C193" s="88"/>
      <c r="D193" s="32">
        <f>SUM(C194:C197)</f>
        <v>7</v>
      </c>
    </row>
    <row r="194" spans="2:4">
      <c r="B194" s="13" t="s">
        <v>61</v>
      </c>
      <c r="C194" s="73">
        <v>1</v>
      </c>
    </row>
    <row r="195" spans="2:4">
      <c r="B195" s="13" t="s">
        <v>101</v>
      </c>
      <c r="C195" s="73">
        <v>1</v>
      </c>
    </row>
    <row r="196" spans="2:4">
      <c r="B196" s="5" t="s">
        <v>38</v>
      </c>
      <c r="C196" s="74">
        <f>ROUNDDOWN(4.225,0)</f>
        <v>4</v>
      </c>
    </row>
    <row r="197" spans="2:4">
      <c r="B197" s="6" t="s">
        <v>66</v>
      </c>
      <c r="C197" s="40">
        <f>ROUNDDOWN(1.8,0)</f>
        <v>1</v>
      </c>
    </row>
    <row r="198" spans="2:4">
      <c r="B198" s="89" t="s">
        <v>102</v>
      </c>
      <c r="C198" s="89"/>
      <c r="D198" s="32">
        <f>C199</f>
        <v>1</v>
      </c>
    </row>
    <row r="199" spans="2:4">
      <c r="B199" s="6" t="s">
        <v>62</v>
      </c>
      <c r="C199" s="40">
        <f>ROUNDDOWN(1.5,0)</f>
        <v>1</v>
      </c>
    </row>
    <row r="200" spans="2:4">
      <c r="B200" s="86" t="s">
        <v>103</v>
      </c>
      <c r="C200" s="86"/>
      <c r="D200" s="32">
        <f>SUM(C201:C201)</f>
        <v>1</v>
      </c>
    </row>
    <row r="201" spans="2:4">
      <c r="B201" s="4" t="s">
        <v>62</v>
      </c>
      <c r="C201" s="41">
        <f>ROUNDDOWN(1.87,0)</f>
        <v>1</v>
      </c>
    </row>
    <row r="202" spans="2:4">
      <c r="B202" s="90" t="s">
        <v>104</v>
      </c>
      <c r="C202" s="90"/>
      <c r="D202" s="32">
        <f>C203</f>
        <v>0</v>
      </c>
    </row>
    <row r="203" spans="2:4">
      <c r="B203" s="4"/>
      <c r="C203" s="41"/>
    </row>
    <row r="204" spans="2:4">
      <c r="B204" s="91" t="s">
        <v>180</v>
      </c>
      <c r="C204" s="92"/>
      <c r="D204" s="32">
        <f>C205</f>
        <v>1</v>
      </c>
    </row>
    <row r="205" spans="2:4">
      <c r="B205" s="4" t="s">
        <v>64</v>
      </c>
      <c r="C205" s="41">
        <v>1</v>
      </c>
    </row>
    <row r="206" spans="2:4">
      <c r="B206" s="93" t="s">
        <v>105</v>
      </c>
      <c r="C206" s="93"/>
      <c r="D206" s="32">
        <f>C207</f>
        <v>2</v>
      </c>
    </row>
    <row r="207" spans="2:4">
      <c r="B207" s="6" t="s">
        <v>62</v>
      </c>
      <c r="C207" s="40">
        <f>ROUNDDOWN(2.25,0)</f>
        <v>2</v>
      </c>
    </row>
    <row r="208" spans="2:4">
      <c r="B208" s="94" t="s">
        <v>174</v>
      </c>
      <c r="C208" s="94"/>
      <c r="D208" s="35">
        <f>SUM(C209:C218)</f>
        <v>39</v>
      </c>
    </row>
    <row r="209" spans="2:6">
      <c r="B209" s="6" t="s">
        <v>37</v>
      </c>
      <c r="C209" s="40">
        <f>ROUNDDOWN(14.75,0)</f>
        <v>14</v>
      </c>
      <c r="F209" s="38"/>
    </row>
    <row r="210" spans="2:6">
      <c r="B210" s="44" t="s">
        <v>66</v>
      </c>
      <c r="C210" s="45">
        <f>ROUNDDOWN(1.8,0)</f>
        <v>1</v>
      </c>
    </row>
    <row r="211" spans="2:6">
      <c r="B211" s="44" t="s">
        <v>64</v>
      </c>
      <c r="C211" s="45">
        <v>1</v>
      </c>
      <c r="E211" s="38"/>
    </row>
    <row r="212" spans="2:6">
      <c r="B212" s="44" t="s">
        <v>49</v>
      </c>
      <c r="C212" s="45">
        <v>1</v>
      </c>
      <c r="E212" s="38"/>
    </row>
    <row r="213" spans="2:6">
      <c r="B213" s="44" t="s">
        <v>39</v>
      </c>
      <c r="C213" s="45">
        <v>1</v>
      </c>
      <c r="E213" s="38"/>
    </row>
    <row r="214" spans="2:6">
      <c r="B214" s="44" t="s">
        <v>46</v>
      </c>
      <c r="C214" s="45">
        <v>4</v>
      </c>
    </row>
    <row r="215" spans="2:6">
      <c r="B215" s="6" t="s">
        <v>42</v>
      </c>
      <c r="C215" s="40">
        <v>4</v>
      </c>
    </row>
    <row r="216" spans="2:6">
      <c r="B216" s="6" t="s">
        <v>227</v>
      </c>
      <c r="C216" s="40">
        <v>4</v>
      </c>
    </row>
    <row r="217" spans="2:6">
      <c r="B217" s="6" t="s">
        <v>106</v>
      </c>
      <c r="C217" s="40">
        <f>ROUNDDOWN(2.5,0)</f>
        <v>2</v>
      </c>
    </row>
    <row r="218" spans="2:6">
      <c r="B218" s="6" t="s">
        <v>74</v>
      </c>
      <c r="C218" s="40">
        <v>7</v>
      </c>
    </row>
    <row r="219" spans="2:6">
      <c r="B219" s="94" t="s">
        <v>175</v>
      </c>
      <c r="C219" s="94"/>
      <c r="D219" s="35">
        <f>SUM(C220:C245)</f>
        <v>324</v>
      </c>
    </row>
    <row r="220" spans="2:6">
      <c r="B220" s="6" t="s">
        <v>37</v>
      </c>
      <c r="C220" s="40">
        <f>ROUNDDOWN(60.53,0)</f>
        <v>60</v>
      </c>
    </row>
    <row r="221" spans="2:6">
      <c r="B221" s="6" t="s">
        <v>38</v>
      </c>
      <c r="C221" s="40">
        <f>ROUNDDOWN(83.15,0)</f>
        <v>83</v>
      </c>
    </row>
    <row r="222" spans="2:6">
      <c r="B222" s="6" t="s">
        <v>62</v>
      </c>
      <c r="C222" s="40">
        <f>ROUNDDOWN(37.3,0)</f>
        <v>37</v>
      </c>
    </row>
    <row r="223" spans="2:6">
      <c r="B223" s="6" t="s">
        <v>66</v>
      </c>
      <c r="C223" s="40">
        <f>ROUNDDOWN(8.39,0)</f>
        <v>8</v>
      </c>
    </row>
    <row r="224" spans="2:6">
      <c r="B224" s="44" t="s">
        <v>46</v>
      </c>
      <c r="C224" s="45">
        <v>6</v>
      </c>
    </row>
    <row r="225" spans="2:5">
      <c r="B225" s="44" t="s">
        <v>39</v>
      </c>
      <c r="C225" s="45">
        <v>1</v>
      </c>
      <c r="E225" s="38"/>
    </row>
    <row r="226" spans="2:5">
      <c r="B226" s="44" t="s">
        <v>76</v>
      </c>
      <c r="C226" s="45">
        <v>1</v>
      </c>
      <c r="E226" s="38"/>
    </row>
    <row r="227" spans="2:5">
      <c r="B227" s="6" t="s">
        <v>54</v>
      </c>
      <c r="C227" s="40">
        <f>ROUNDDOWN(8.7,0)</f>
        <v>8</v>
      </c>
    </row>
    <row r="228" spans="2:5">
      <c r="B228" s="6" t="s">
        <v>55</v>
      </c>
      <c r="C228" s="40">
        <v>20</v>
      </c>
    </row>
    <row r="229" spans="2:5">
      <c r="B229" s="6" t="s">
        <v>40</v>
      </c>
      <c r="C229" s="40">
        <f>ROUNDDOWN(3.5,0)</f>
        <v>3</v>
      </c>
    </row>
    <row r="230" spans="2:5">
      <c r="B230" s="6" t="s">
        <v>41</v>
      </c>
      <c r="C230" s="40">
        <f>ROUNDDOWN(9.25,0)</f>
        <v>9</v>
      </c>
    </row>
    <row r="231" spans="2:5">
      <c r="B231" s="6" t="s">
        <v>42</v>
      </c>
      <c r="C231" s="40">
        <v>8</v>
      </c>
    </row>
    <row r="232" spans="2:5">
      <c r="B232" s="6" t="s">
        <v>226</v>
      </c>
      <c r="C232" s="40">
        <v>11</v>
      </c>
    </row>
    <row r="233" spans="2:5">
      <c r="B233" s="6" t="s">
        <v>43</v>
      </c>
      <c r="C233" s="40">
        <v>18</v>
      </c>
    </row>
    <row r="234" spans="2:5">
      <c r="B234" s="6" t="s">
        <v>107</v>
      </c>
      <c r="C234" s="40">
        <f>ROUNDDOWN(5.05,0)</f>
        <v>5</v>
      </c>
    </row>
    <row r="235" spans="2:5">
      <c r="B235" s="6" t="s">
        <v>72</v>
      </c>
      <c r="C235" s="40">
        <v>2</v>
      </c>
    </row>
    <row r="236" spans="2:5">
      <c r="B236" s="6" t="s">
        <v>44</v>
      </c>
      <c r="C236" s="40">
        <v>2</v>
      </c>
    </row>
    <row r="237" spans="2:5">
      <c r="B237" s="6" t="s">
        <v>106</v>
      </c>
      <c r="C237" s="40">
        <v>4</v>
      </c>
    </row>
    <row r="238" spans="2:5">
      <c r="B238" s="6" t="s">
        <v>64</v>
      </c>
      <c r="C238" s="40">
        <v>9</v>
      </c>
    </row>
    <row r="239" spans="2:5">
      <c r="B239" s="6" t="s">
        <v>79</v>
      </c>
      <c r="C239" s="40">
        <f>ROUNDDOWN(7.5,0)</f>
        <v>7</v>
      </c>
    </row>
    <row r="240" spans="2:5">
      <c r="B240" s="6" t="s">
        <v>45</v>
      </c>
      <c r="C240" s="40">
        <f>ROUNDDOWN(5.5,0)</f>
        <v>5</v>
      </c>
    </row>
    <row r="241" spans="2:5">
      <c r="B241" s="6" t="s">
        <v>74</v>
      </c>
      <c r="C241" s="40">
        <f>ROUNDDOWN(9.25,0)</f>
        <v>9</v>
      </c>
    </row>
    <row r="242" spans="2:5">
      <c r="B242" s="6" t="s">
        <v>49</v>
      </c>
      <c r="C242" s="40">
        <v>2</v>
      </c>
    </row>
    <row r="243" spans="2:5">
      <c r="B243" s="6" t="s">
        <v>75</v>
      </c>
      <c r="C243" s="40">
        <f>ROUNDDOWN(1.5,0)</f>
        <v>1</v>
      </c>
    </row>
    <row r="244" spans="2:5">
      <c r="B244" s="6" t="s">
        <v>77</v>
      </c>
      <c r="C244" s="40">
        <f>ROUNDDOWN(3.75,0)</f>
        <v>3</v>
      </c>
    </row>
    <row r="245" spans="2:5">
      <c r="B245" s="6" t="s">
        <v>51</v>
      </c>
      <c r="C245" s="40">
        <v>2</v>
      </c>
    </row>
    <row r="246" spans="2:5">
      <c r="B246" s="95" t="s">
        <v>176</v>
      </c>
      <c r="C246" s="95"/>
      <c r="D246" s="35">
        <f>SUM(C247:C262)</f>
        <v>142</v>
      </c>
    </row>
    <row r="247" spans="2:5">
      <c r="B247" s="6" t="s">
        <v>37</v>
      </c>
      <c r="C247" s="40">
        <f>ROUNDDOWN(29.44,0)</f>
        <v>29</v>
      </c>
    </row>
    <row r="248" spans="2:5">
      <c r="B248" s="6" t="s">
        <v>38</v>
      </c>
      <c r="C248" s="40">
        <f>ROUNDDOWN(44.11,0)</f>
        <v>44</v>
      </c>
    </row>
    <row r="249" spans="2:5">
      <c r="B249" s="6" t="s">
        <v>62</v>
      </c>
      <c r="C249" s="40">
        <v>12</v>
      </c>
    </row>
    <row r="250" spans="2:5">
      <c r="B250" s="6" t="s">
        <v>66</v>
      </c>
      <c r="C250" s="40">
        <f>ROUNDDOWN(13.61,0)</f>
        <v>13</v>
      </c>
    </row>
    <row r="251" spans="2:5">
      <c r="B251" s="6" t="s">
        <v>46</v>
      </c>
      <c r="C251" s="40">
        <v>9</v>
      </c>
    </row>
    <row r="252" spans="2:5">
      <c r="B252" s="6" t="s">
        <v>228</v>
      </c>
      <c r="C252" s="40">
        <v>3</v>
      </c>
    </row>
    <row r="253" spans="2:5">
      <c r="B253" s="44" t="s">
        <v>43</v>
      </c>
      <c r="C253" s="45">
        <v>2</v>
      </c>
    </row>
    <row r="254" spans="2:5">
      <c r="B254" s="44" t="s">
        <v>107</v>
      </c>
      <c r="C254" s="45">
        <f>ROUNDDOWN(2.6,0)</f>
        <v>2</v>
      </c>
    </row>
    <row r="255" spans="2:5">
      <c r="B255" s="44" t="s">
        <v>54</v>
      </c>
      <c r="C255" s="45">
        <v>1</v>
      </c>
      <c r="E255" s="38"/>
    </row>
    <row r="256" spans="2:5">
      <c r="B256" s="44" t="s">
        <v>45</v>
      </c>
      <c r="C256" s="45">
        <v>1</v>
      </c>
      <c r="E256" s="38"/>
    </row>
    <row r="257" spans="2:5">
      <c r="B257" s="44" t="s">
        <v>64</v>
      </c>
      <c r="C257" s="45">
        <v>1</v>
      </c>
      <c r="E257" s="38"/>
    </row>
    <row r="258" spans="2:5">
      <c r="B258" s="44" t="s">
        <v>49</v>
      </c>
      <c r="C258" s="45">
        <v>1</v>
      </c>
      <c r="E258" s="38"/>
    </row>
    <row r="259" spans="2:5">
      <c r="B259" s="44" t="s">
        <v>39</v>
      </c>
      <c r="C259" s="45">
        <v>1</v>
      </c>
      <c r="E259" s="38"/>
    </row>
    <row r="260" spans="2:5">
      <c r="B260" s="44" t="s">
        <v>79</v>
      </c>
      <c r="C260" s="45">
        <v>4</v>
      </c>
    </row>
    <row r="261" spans="2:5">
      <c r="B261" s="44" t="s">
        <v>74</v>
      </c>
      <c r="C261" s="45">
        <f>ROUNDDOWN(8.5,0)</f>
        <v>8</v>
      </c>
    </row>
    <row r="262" spans="2:5">
      <c r="B262" s="6" t="s">
        <v>75</v>
      </c>
      <c r="C262" s="40">
        <v>11</v>
      </c>
    </row>
    <row r="263" spans="2:5">
      <c r="B263" s="85" t="s">
        <v>177</v>
      </c>
      <c r="C263" s="85"/>
      <c r="D263" s="35">
        <f>SUM(C264:C267)</f>
        <v>5</v>
      </c>
    </row>
    <row r="264" spans="2:5">
      <c r="B264" s="44" t="s">
        <v>43</v>
      </c>
      <c r="C264" s="45">
        <v>1</v>
      </c>
      <c r="E264" s="38"/>
    </row>
    <row r="265" spans="2:5">
      <c r="B265" s="44" t="s">
        <v>55</v>
      </c>
      <c r="C265" s="45">
        <v>1</v>
      </c>
      <c r="E265" s="38"/>
    </row>
    <row r="266" spans="2:5">
      <c r="B266" s="44" t="s">
        <v>41</v>
      </c>
      <c r="C266" s="45">
        <v>1</v>
      </c>
      <c r="E266" s="38"/>
    </row>
    <row r="267" spans="2:5">
      <c r="B267" s="44" t="s">
        <v>42</v>
      </c>
      <c r="C267" s="45">
        <f>ROUNDDOWN(2,0)</f>
        <v>2</v>
      </c>
    </row>
    <row r="268" spans="2:5">
      <c r="B268" s="33"/>
      <c r="C268" s="37"/>
    </row>
    <row r="270" spans="2:5">
      <c r="B270" s="81" t="s">
        <v>178</v>
      </c>
      <c r="C270" s="82"/>
      <c r="D270" s="35">
        <f>D12+D208+D219+D246+D263</f>
        <v>840</v>
      </c>
    </row>
    <row r="272" spans="2:5">
      <c r="B272" s="83" t="s">
        <v>179</v>
      </c>
      <c r="C272" s="84"/>
      <c r="D272" s="36">
        <v>766</v>
      </c>
    </row>
  </sheetData>
  <mergeCells count="55">
    <mergeCell ref="B77:C77"/>
    <mergeCell ref="B12:C12"/>
    <mergeCell ref="B13:C13"/>
    <mergeCell ref="B28:C28"/>
    <mergeCell ref="B30:C30"/>
    <mergeCell ref="B43:C43"/>
    <mergeCell ref="B47:C47"/>
    <mergeCell ref="B49:C49"/>
    <mergeCell ref="B51:C51"/>
    <mergeCell ref="B53:C53"/>
    <mergeCell ref="B56:C56"/>
    <mergeCell ref="B63:C63"/>
    <mergeCell ref="B74:C74"/>
    <mergeCell ref="B141:C141"/>
    <mergeCell ref="B86:C86"/>
    <mergeCell ref="B93:C93"/>
    <mergeCell ref="B95:C95"/>
    <mergeCell ref="B98:C98"/>
    <mergeCell ref="B110:C110"/>
    <mergeCell ref="B117:C117"/>
    <mergeCell ref="B125:C125"/>
    <mergeCell ref="B128:C128"/>
    <mergeCell ref="B133:C133"/>
    <mergeCell ref="B136:C136"/>
    <mergeCell ref="B138:C138"/>
    <mergeCell ref="B91:C91"/>
    <mergeCell ref="B89:C89"/>
    <mergeCell ref="B185:C185"/>
    <mergeCell ref="B145:C145"/>
    <mergeCell ref="B147:C147"/>
    <mergeCell ref="B154:C154"/>
    <mergeCell ref="B157:C157"/>
    <mergeCell ref="B163:C163"/>
    <mergeCell ref="B165:C165"/>
    <mergeCell ref="B167:C167"/>
    <mergeCell ref="B169:C169"/>
    <mergeCell ref="B174:C174"/>
    <mergeCell ref="B176:C176"/>
    <mergeCell ref="B183:C183"/>
    <mergeCell ref="B9:F9"/>
    <mergeCell ref="B10:F10"/>
    <mergeCell ref="B270:C270"/>
    <mergeCell ref="B272:C272"/>
    <mergeCell ref="B263:C263"/>
    <mergeCell ref="B187:C187"/>
    <mergeCell ref="B189:C189"/>
    <mergeCell ref="B193:C193"/>
    <mergeCell ref="B198:C198"/>
    <mergeCell ref="B200:C200"/>
    <mergeCell ref="B202:C202"/>
    <mergeCell ref="B204:C204"/>
    <mergeCell ref="B206:C206"/>
    <mergeCell ref="B208:C208"/>
    <mergeCell ref="B219:C219"/>
    <mergeCell ref="B246:C246"/>
  </mergeCells>
  <pageMargins left="0.7" right="0.7" top="0.75" bottom="0.75" header="0.3" footer="0.3"/>
  <pageSetup paperSize="9" scale="73" orientation="portrait" r:id="rId1"/>
  <rowBreaks count="4" manualBreakCount="4">
    <brk id="62" max="16383" man="1"/>
    <brk id="124" max="16383" man="1"/>
    <brk id="182" max="16383" man="1"/>
    <brk id="2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5782A-8571-422B-8650-378E568BC35B}">
  <dimension ref="B1:F43"/>
  <sheetViews>
    <sheetView topLeftCell="A9" zoomScaleNormal="100" workbookViewId="0">
      <selection activeCell="M11" sqref="M11"/>
    </sheetView>
  </sheetViews>
  <sheetFormatPr defaultRowHeight="15"/>
  <cols>
    <col min="1" max="1" width="4" customWidth="1"/>
    <col min="2" max="2" width="44.140625" customWidth="1"/>
    <col min="3" max="3" width="15.5703125" customWidth="1"/>
    <col min="4" max="4" width="14.5703125" customWidth="1"/>
    <col min="5" max="5" width="15.42578125" customWidth="1"/>
    <col min="6" max="6" width="20.140625" customWidth="1"/>
  </cols>
  <sheetData>
    <row r="1" spans="2:6" ht="15.75">
      <c r="F1" s="59" t="s">
        <v>221</v>
      </c>
    </row>
    <row r="2" spans="2:6" ht="15.75">
      <c r="F2" s="59" t="s">
        <v>218</v>
      </c>
    </row>
    <row r="3" spans="2:6" ht="15.75">
      <c r="F3" s="59" t="s">
        <v>219</v>
      </c>
    </row>
    <row r="6" spans="2:6">
      <c r="B6" s="106" t="s">
        <v>33</v>
      </c>
      <c r="C6" s="106"/>
      <c r="D6" s="106"/>
      <c r="E6" s="106"/>
      <c r="F6" s="106"/>
    </row>
    <row r="8" spans="2:6">
      <c r="B8" s="80" t="s">
        <v>182</v>
      </c>
      <c r="C8" s="80"/>
      <c r="D8" s="80"/>
      <c r="E8" s="80"/>
      <c r="F8" s="80"/>
    </row>
    <row r="9" spans="2:6">
      <c r="B9" s="80" t="s">
        <v>173</v>
      </c>
      <c r="C9" s="80"/>
      <c r="D9" s="80"/>
      <c r="E9" s="80"/>
      <c r="F9" s="80"/>
    </row>
    <row r="10" spans="2:6">
      <c r="C10" s="1"/>
      <c r="D10" s="1"/>
      <c r="E10" s="1"/>
      <c r="F10" s="1"/>
    </row>
    <row r="11" spans="2:6">
      <c r="B11" s="107" t="s">
        <v>0</v>
      </c>
      <c r="C11" s="105" t="s">
        <v>171</v>
      </c>
      <c r="D11" s="105"/>
      <c r="E11" s="105"/>
      <c r="F11" s="105"/>
    </row>
    <row r="12" spans="2:6" ht="28.5">
      <c r="B12" s="107"/>
      <c r="C12" s="2" t="s">
        <v>1</v>
      </c>
      <c r="D12" s="2" t="s">
        <v>2</v>
      </c>
      <c r="E12" s="2" t="s">
        <v>3</v>
      </c>
      <c r="F12" s="2" t="s">
        <v>4</v>
      </c>
    </row>
    <row r="13" spans="2:6" ht="12" customHeight="1">
      <c r="B13" s="2"/>
      <c r="C13" s="3" t="s">
        <v>34</v>
      </c>
      <c r="D13" s="3" t="s">
        <v>34</v>
      </c>
      <c r="E13" s="3" t="s">
        <v>34</v>
      </c>
      <c r="F13" s="3" t="s">
        <v>34</v>
      </c>
    </row>
    <row r="14" spans="2:6">
      <c r="B14" s="42" t="s">
        <v>5</v>
      </c>
      <c r="C14" s="39">
        <v>0</v>
      </c>
      <c r="D14" s="39">
        <v>1</v>
      </c>
      <c r="E14" s="39">
        <v>1</v>
      </c>
      <c r="F14" s="39">
        <v>1</v>
      </c>
    </row>
    <row r="15" spans="2:6">
      <c r="B15" s="42" t="s">
        <v>6</v>
      </c>
      <c r="C15" s="39">
        <v>0</v>
      </c>
      <c r="D15" s="39">
        <v>1</v>
      </c>
      <c r="E15" s="39">
        <v>1</v>
      </c>
      <c r="F15" s="39">
        <v>1</v>
      </c>
    </row>
    <row r="16" spans="2:6">
      <c r="B16" s="42" t="s">
        <v>7</v>
      </c>
      <c r="C16" s="39">
        <v>0</v>
      </c>
      <c r="D16" s="39">
        <f>ROUNDDOWN(0.5,0)</f>
        <v>0</v>
      </c>
      <c r="E16" s="39">
        <v>0</v>
      </c>
      <c r="F16" s="39">
        <f>ROUNDDOWN(0.15,0)</f>
        <v>0</v>
      </c>
    </row>
    <row r="17" spans="2:6">
      <c r="B17" s="42" t="s">
        <v>8</v>
      </c>
      <c r="C17" s="39">
        <v>2</v>
      </c>
      <c r="D17" s="39">
        <v>1</v>
      </c>
      <c r="E17" s="39">
        <v>1</v>
      </c>
      <c r="F17" s="39">
        <v>2</v>
      </c>
    </row>
    <row r="18" spans="2:6">
      <c r="B18" s="42" t="s">
        <v>9</v>
      </c>
      <c r="C18" s="39">
        <v>2</v>
      </c>
      <c r="D18" s="39">
        <v>2</v>
      </c>
      <c r="E18" s="39">
        <v>2</v>
      </c>
      <c r="F18" s="39">
        <v>1</v>
      </c>
    </row>
    <row r="19" spans="2:6">
      <c r="B19" s="42" t="s">
        <v>10</v>
      </c>
      <c r="C19" s="39">
        <v>0</v>
      </c>
      <c r="D19" s="39">
        <v>0</v>
      </c>
      <c r="E19" s="39">
        <v>0</v>
      </c>
      <c r="F19" s="39">
        <v>0</v>
      </c>
    </row>
    <row r="20" spans="2:6">
      <c r="B20" s="42" t="s">
        <v>183</v>
      </c>
      <c r="C20" s="39">
        <v>0</v>
      </c>
      <c r="D20" s="39">
        <v>0</v>
      </c>
      <c r="E20" s="39">
        <v>1</v>
      </c>
      <c r="F20" s="39">
        <v>0</v>
      </c>
    </row>
    <row r="21" spans="2:6">
      <c r="B21" s="42" t="s">
        <v>11</v>
      </c>
      <c r="C21" s="39"/>
      <c r="D21" s="39"/>
      <c r="E21" s="39"/>
      <c r="F21" s="39"/>
    </row>
    <row r="22" spans="2:6">
      <c r="B22" s="43" t="s">
        <v>12</v>
      </c>
      <c r="C22" s="39">
        <v>0</v>
      </c>
      <c r="D22" s="39">
        <v>2</v>
      </c>
      <c r="E22" s="39">
        <v>2</v>
      </c>
      <c r="F22" s="39">
        <v>2</v>
      </c>
    </row>
    <row r="23" spans="2:6">
      <c r="B23" s="43" t="s">
        <v>13</v>
      </c>
      <c r="C23" s="39">
        <v>0</v>
      </c>
      <c r="D23" s="39">
        <v>0</v>
      </c>
      <c r="E23" s="39">
        <v>0</v>
      </c>
      <c r="F23" s="39">
        <v>1</v>
      </c>
    </row>
    <row r="24" spans="2:6">
      <c r="B24" s="42" t="s">
        <v>14</v>
      </c>
      <c r="C24" s="39">
        <f>ROUNDDOWN(2.75,0)</f>
        <v>2</v>
      </c>
      <c r="D24" s="39">
        <v>1</v>
      </c>
      <c r="E24" s="39">
        <f>ROUNDDOWN(1.75,0)</f>
        <v>1</v>
      </c>
      <c r="F24" s="39">
        <f>ROUNDDOWN(0.25,0)</f>
        <v>0</v>
      </c>
    </row>
    <row r="25" spans="2:6">
      <c r="B25" s="42" t="s">
        <v>15</v>
      </c>
      <c r="C25" s="39">
        <v>1</v>
      </c>
      <c r="D25" s="39">
        <v>1</v>
      </c>
      <c r="E25" s="39">
        <v>1</v>
      </c>
      <c r="F25" s="39">
        <v>0</v>
      </c>
    </row>
    <row r="26" spans="2:6">
      <c r="B26" s="42" t="s">
        <v>16</v>
      </c>
      <c r="C26" s="39">
        <v>1</v>
      </c>
      <c r="D26" s="39">
        <v>1</v>
      </c>
      <c r="E26" s="39">
        <v>0</v>
      </c>
      <c r="F26" s="39">
        <v>1</v>
      </c>
    </row>
    <row r="27" spans="2:6">
      <c r="B27" s="42" t="s">
        <v>17</v>
      </c>
      <c r="C27" s="39">
        <v>0</v>
      </c>
      <c r="D27" s="39">
        <v>1</v>
      </c>
      <c r="E27" s="39">
        <v>1</v>
      </c>
      <c r="F27" s="39">
        <v>0</v>
      </c>
    </row>
    <row r="28" spans="2:6">
      <c r="B28" s="42" t="s">
        <v>18</v>
      </c>
      <c r="C28" s="39">
        <v>0</v>
      </c>
      <c r="D28" s="39">
        <f>ROUNDDOWN(1.75,0)</f>
        <v>1</v>
      </c>
      <c r="E28" s="39">
        <v>0</v>
      </c>
      <c r="F28" s="39">
        <v>0</v>
      </c>
    </row>
    <row r="29" spans="2:6">
      <c r="B29" s="42" t="s">
        <v>19</v>
      </c>
      <c r="C29" s="39">
        <v>0</v>
      </c>
      <c r="D29" s="39">
        <v>0</v>
      </c>
      <c r="E29" s="39">
        <v>0</v>
      </c>
      <c r="F29" s="39">
        <v>0</v>
      </c>
    </row>
    <row r="30" spans="2:6">
      <c r="B30" s="42" t="s">
        <v>184</v>
      </c>
      <c r="C30" s="39">
        <v>0</v>
      </c>
      <c r="D30" s="39">
        <v>0</v>
      </c>
      <c r="E30" s="39">
        <v>0</v>
      </c>
      <c r="F30" s="39">
        <v>0</v>
      </c>
    </row>
    <row r="31" spans="2:6">
      <c r="B31" s="42" t="s">
        <v>20</v>
      </c>
      <c r="C31" s="39">
        <v>0</v>
      </c>
      <c r="D31" s="39">
        <v>0</v>
      </c>
      <c r="E31" s="39">
        <v>0</v>
      </c>
      <c r="F31" s="39">
        <f>ROUNDDOWN(0.5,0)</f>
        <v>0</v>
      </c>
    </row>
    <row r="32" spans="2:6">
      <c r="B32" s="42" t="s">
        <v>21</v>
      </c>
      <c r="C32" s="39">
        <v>2</v>
      </c>
      <c r="D32" s="39">
        <v>1</v>
      </c>
      <c r="E32" s="39">
        <v>0</v>
      </c>
      <c r="F32" s="39">
        <v>2</v>
      </c>
    </row>
    <row r="33" spans="2:6">
      <c r="B33" s="42" t="s">
        <v>22</v>
      </c>
      <c r="C33" s="39">
        <v>1</v>
      </c>
      <c r="D33" s="39">
        <v>1</v>
      </c>
      <c r="E33" s="39">
        <v>1</v>
      </c>
      <c r="F33" s="39">
        <v>1</v>
      </c>
    </row>
    <row r="34" spans="2:6">
      <c r="B34" s="42" t="s">
        <v>23</v>
      </c>
      <c r="C34" s="39">
        <v>0</v>
      </c>
      <c r="D34" s="39">
        <v>0</v>
      </c>
      <c r="E34" s="39">
        <f>ROUNDDOWN(0.15,0)</f>
        <v>0</v>
      </c>
      <c r="F34" s="39">
        <f>ROUNDDOWN(0.15,0)</f>
        <v>0</v>
      </c>
    </row>
    <row r="35" spans="2:6">
      <c r="B35" s="42" t="s">
        <v>24</v>
      </c>
      <c r="C35" s="39">
        <v>3</v>
      </c>
      <c r="D35" s="39">
        <f>ROUNDDOWN(0.5,0)</f>
        <v>0</v>
      </c>
      <c r="E35" s="39">
        <f>ROUNDDOWN(1.5,0)</f>
        <v>1</v>
      </c>
      <c r="F35" s="39">
        <v>0</v>
      </c>
    </row>
    <row r="36" spans="2:6">
      <c r="B36" s="42" t="s">
        <v>25</v>
      </c>
      <c r="C36" s="39">
        <f>ROUNDDOWN(0.75,0)</f>
        <v>0</v>
      </c>
      <c r="D36" s="39">
        <v>0</v>
      </c>
      <c r="E36" s="39">
        <f>ROUNDDOWN(0.55,0)</f>
        <v>0</v>
      </c>
      <c r="F36" s="39">
        <v>0</v>
      </c>
    </row>
    <row r="37" spans="2:6">
      <c r="B37" s="42" t="s">
        <v>26</v>
      </c>
      <c r="C37" s="39">
        <f>ROUNDDOWN(1.5,0)</f>
        <v>1</v>
      </c>
      <c r="D37" s="39">
        <v>0</v>
      </c>
      <c r="E37" s="39">
        <v>0</v>
      </c>
      <c r="F37" s="39">
        <v>0</v>
      </c>
    </row>
    <row r="38" spans="2:6">
      <c r="B38" s="42" t="s">
        <v>27</v>
      </c>
      <c r="C38" s="39">
        <v>0</v>
      </c>
      <c r="D38" s="39">
        <f>ROUNDDOWN(0.5,0)</f>
        <v>0</v>
      </c>
      <c r="E38" s="39">
        <f>ROUNDDOWN(0.5,0)</f>
        <v>0</v>
      </c>
      <c r="F38" s="39">
        <v>0</v>
      </c>
    </row>
    <row r="39" spans="2:6">
      <c r="B39" s="42" t="s">
        <v>28</v>
      </c>
      <c r="C39" s="39">
        <v>0</v>
      </c>
      <c r="D39" s="39">
        <v>0</v>
      </c>
      <c r="E39" s="39">
        <v>0</v>
      </c>
      <c r="F39" s="39">
        <v>0</v>
      </c>
    </row>
    <row r="40" spans="2:6">
      <c r="B40" s="42" t="s">
        <v>29</v>
      </c>
      <c r="C40" s="39">
        <f>ROUNDDOWN(0.3125,0)</f>
        <v>0</v>
      </c>
      <c r="D40" s="39">
        <v>0</v>
      </c>
      <c r="E40" s="39">
        <v>0</v>
      </c>
      <c r="F40" s="39">
        <v>0</v>
      </c>
    </row>
    <row r="41" spans="2:6">
      <c r="B41" s="42" t="s">
        <v>30</v>
      </c>
      <c r="C41" s="39">
        <v>0</v>
      </c>
      <c r="D41" s="39">
        <f>ROUNDDOWN(0.5,0)</f>
        <v>0</v>
      </c>
      <c r="E41" s="39">
        <f>ROUNDDOWN(0.25,0)</f>
        <v>0</v>
      </c>
      <c r="F41" s="39">
        <v>0</v>
      </c>
    </row>
    <row r="42" spans="2:6">
      <c r="B42" s="42" t="s">
        <v>31</v>
      </c>
      <c r="C42" s="39">
        <v>0</v>
      </c>
      <c r="D42" s="39">
        <v>0</v>
      </c>
      <c r="E42" s="39">
        <f>ROUNDDOWN(0.25,0)</f>
        <v>0</v>
      </c>
      <c r="F42" s="39">
        <v>0</v>
      </c>
    </row>
    <row r="43" spans="2:6">
      <c r="B43" s="42" t="s">
        <v>32</v>
      </c>
      <c r="C43" s="39">
        <v>0</v>
      </c>
      <c r="D43" s="39">
        <v>0</v>
      </c>
      <c r="E43" s="39">
        <v>1</v>
      </c>
      <c r="F43" s="39">
        <v>0</v>
      </c>
    </row>
  </sheetData>
  <autoFilter ref="B13:F43" xr:uid="{9705782A-8571-422B-8650-378E568BC35B}"/>
  <mergeCells count="5">
    <mergeCell ref="C11:F11"/>
    <mergeCell ref="B6:F6"/>
    <mergeCell ref="B8:F8"/>
    <mergeCell ref="B9:F9"/>
    <mergeCell ref="B11:B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A45C-DE21-4F78-BE3D-382A6EE95FDD}">
  <dimension ref="B2:L59"/>
  <sheetViews>
    <sheetView topLeftCell="A6" zoomScale="145" zoomScaleNormal="145" workbookViewId="0">
      <selection activeCell="S10" sqref="S10"/>
    </sheetView>
  </sheetViews>
  <sheetFormatPr defaultRowHeight="15"/>
  <cols>
    <col min="1" max="1" width="4.42578125" customWidth="1"/>
    <col min="2" max="2" width="22.5703125" customWidth="1"/>
    <col min="3" max="3" width="19.42578125" customWidth="1"/>
    <col min="4" max="4" width="26.140625" customWidth="1"/>
    <col min="5" max="5" width="22.42578125" hidden="1" customWidth="1"/>
    <col min="6" max="6" width="19.5703125" hidden="1" customWidth="1"/>
    <col min="7" max="7" width="26.85546875" hidden="1" customWidth="1"/>
    <col min="8" max="9" width="11.42578125" customWidth="1"/>
    <col min="10" max="10" width="10.85546875" customWidth="1"/>
    <col min="11" max="11" width="10.42578125" customWidth="1"/>
    <col min="12" max="12" width="11.85546875" customWidth="1"/>
  </cols>
  <sheetData>
    <row r="2" spans="2:12" ht="15.75">
      <c r="L2" s="59" t="s">
        <v>222</v>
      </c>
    </row>
    <row r="3" spans="2:12" ht="15.75">
      <c r="L3" s="59" t="s">
        <v>218</v>
      </c>
    </row>
    <row r="4" spans="2:12" ht="15.75">
      <c r="L4" s="59" t="s">
        <v>219</v>
      </c>
    </row>
    <row r="7" spans="2:12">
      <c r="B7" s="114" t="s">
        <v>33</v>
      </c>
      <c r="C7" s="114"/>
      <c r="D7" s="114"/>
      <c r="E7" s="114"/>
      <c r="F7" s="114"/>
      <c r="G7" s="82"/>
      <c r="H7" s="82"/>
      <c r="I7" s="82"/>
    </row>
    <row r="8" spans="2:12" ht="15.75" thickBot="1"/>
    <row r="9" spans="2:12" ht="29.1" customHeight="1" thickBot="1">
      <c r="B9" s="23"/>
      <c r="C9" s="108" t="s">
        <v>121</v>
      </c>
      <c r="D9" s="109"/>
      <c r="E9" s="110" t="s">
        <v>122</v>
      </c>
      <c r="F9" s="111"/>
      <c r="G9" s="112"/>
      <c r="H9" s="113" t="s">
        <v>123</v>
      </c>
      <c r="I9" s="111"/>
      <c r="J9" s="111"/>
      <c r="K9" s="111"/>
      <c r="L9" s="112"/>
    </row>
    <row r="10" spans="2:12" ht="58.35" customHeight="1" thickBot="1">
      <c r="B10" s="22" t="s">
        <v>170</v>
      </c>
      <c r="C10" s="14" t="s">
        <v>124</v>
      </c>
      <c r="D10" s="57" t="s">
        <v>125</v>
      </c>
      <c r="E10" s="58" t="s">
        <v>126</v>
      </c>
      <c r="F10" s="58" t="s">
        <v>127</v>
      </c>
      <c r="G10" s="58" t="s">
        <v>128</v>
      </c>
      <c r="H10" s="58" t="s">
        <v>129</v>
      </c>
      <c r="I10" s="15" t="s">
        <v>130</v>
      </c>
      <c r="J10" s="15" t="s">
        <v>131</v>
      </c>
      <c r="K10" s="15" t="s">
        <v>132</v>
      </c>
      <c r="L10" s="15" t="s">
        <v>133</v>
      </c>
    </row>
    <row r="11" spans="2:12" ht="15.75" thickBot="1">
      <c r="B11" s="16" t="s">
        <v>134</v>
      </c>
      <c r="C11" s="17">
        <v>1201</v>
      </c>
      <c r="D11" s="17">
        <v>381</v>
      </c>
      <c r="E11" s="17">
        <v>38</v>
      </c>
      <c r="F11" s="17">
        <v>23</v>
      </c>
      <c r="G11" s="17">
        <v>11</v>
      </c>
      <c r="H11" s="17">
        <v>38</v>
      </c>
      <c r="I11" s="17">
        <v>43</v>
      </c>
      <c r="J11" s="17">
        <v>36</v>
      </c>
      <c r="K11" s="17">
        <v>24</v>
      </c>
      <c r="L11" s="17">
        <v>29</v>
      </c>
    </row>
    <row r="12" spans="2:12" ht="15.75" thickBot="1">
      <c r="B12" s="18" t="s">
        <v>135</v>
      </c>
      <c r="C12" s="19">
        <v>179</v>
      </c>
      <c r="D12" s="19">
        <v>68</v>
      </c>
      <c r="E12" s="19">
        <v>5</v>
      </c>
      <c r="F12" s="19">
        <v>6</v>
      </c>
      <c r="G12" s="19">
        <v>2</v>
      </c>
      <c r="H12" s="19">
        <v>8</v>
      </c>
      <c r="I12" s="19">
        <v>12</v>
      </c>
      <c r="J12" s="19">
        <v>12</v>
      </c>
      <c r="K12" s="19">
        <v>5</v>
      </c>
      <c r="L12" s="19">
        <v>7</v>
      </c>
    </row>
    <row r="13" spans="2:12" ht="15.75" thickBot="1">
      <c r="B13" s="20" t="s">
        <v>116</v>
      </c>
      <c r="C13" s="25">
        <v>42</v>
      </c>
      <c r="D13" s="25">
        <v>12</v>
      </c>
      <c r="E13" s="25">
        <v>1</v>
      </c>
      <c r="F13" s="25"/>
      <c r="G13" s="25"/>
      <c r="H13" s="25"/>
      <c r="I13" s="25">
        <v>2</v>
      </c>
      <c r="J13" s="25">
        <v>1</v>
      </c>
      <c r="K13" s="25">
        <v>1</v>
      </c>
      <c r="L13" s="25"/>
    </row>
    <row r="14" spans="2:12" ht="15.75" thickBot="1">
      <c r="B14" s="20" t="s">
        <v>136</v>
      </c>
      <c r="C14" s="25">
        <v>14</v>
      </c>
      <c r="D14" s="25">
        <v>3</v>
      </c>
      <c r="E14" s="25">
        <v>1</v>
      </c>
      <c r="F14" s="25"/>
      <c r="G14" s="25"/>
      <c r="H14" s="25">
        <v>1</v>
      </c>
      <c r="I14" s="25"/>
      <c r="J14" s="25">
        <v>1</v>
      </c>
      <c r="K14" s="25"/>
      <c r="L14" s="25"/>
    </row>
    <row r="15" spans="2:12" ht="15.75" thickBot="1">
      <c r="B15" s="20" t="s">
        <v>137</v>
      </c>
      <c r="C15" s="25">
        <v>19</v>
      </c>
      <c r="D15" s="25">
        <v>8</v>
      </c>
      <c r="E15" s="25">
        <v>1</v>
      </c>
      <c r="F15" s="25">
        <v>3</v>
      </c>
      <c r="G15" s="25"/>
      <c r="H15" s="25">
        <v>1</v>
      </c>
      <c r="I15" s="25">
        <v>2</v>
      </c>
      <c r="J15" s="25">
        <v>2</v>
      </c>
      <c r="K15" s="25"/>
      <c r="L15" s="25">
        <v>1</v>
      </c>
    </row>
    <row r="16" spans="2:12" ht="15.75" thickBot="1">
      <c r="B16" s="20" t="s">
        <v>138</v>
      </c>
      <c r="C16" s="25">
        <v>26</v>
      </c>
      <c r="D16" s="25">
        <v>9</v>
      </c>
      <c r="E16" s="25"/>
      <c r="F16" s="25"/>
      <c r="G16" s="25">
        <v>1</v>
      </c>
      <c r="H16" s="25"/>
      <c r="I16" s="25">
        <v>1</v>
      </c>
      <c r="J16" s="25">
        <v>4</v>
      </c>
      <c r="K16" s="25"/>
      <c r="L16" s="25">
        <v>1</v>
      </c>
    </row>
    <row r="17" spans="2:12" ht="15.75" thickBot="1">
      <c r="B17" s="20" t="s">
        <v>139</v>
      </c>
      <c r="C17" s="25">
        <v>38</v>
      </c>
      <c r="D17" s="25">
        <v>18</v>
      </c>
      <c r="E17" s="25">
        <v>1</v>
      </c>
      <c r="F17" s="25"/>
      <c r="G17" s="25"/>
      <c r="H17" s="25">
        <v>3</v>
      </c>
      <c r="I17" s="25">
        <v>3</v>
      </c>
      <c r="J17" s="25">
        <v>1</v>
      </c>
      <c r="K17" s="25">
        <v>1</v>
      </c>
      <c r="L17" s="25">
        <v>2</v>
      </c>
    </row>
    <row r="18" spans="2:12" ht="15.75" thickBot="1">
      <c r="B18" s="20" t="s">
        <v>140</v>
      </c>
      <c r="C18" s="25">
        <v>18</v>
      </c>
      <c r="D18" s="25">
        <v>9</v>
      </c>
      <c r="E18" s="25"/>
      <c r="F18" s="25">
        <v>1</v>
      </c>
      <c r="G18" s="25">
        <v>1</v>
      </c>
      <c r="H18" s="25">
        <v>2</v>
      </c>
      <c r="I18" s="25">
        <v>2</v>
      </c>
      <c r="J18" s="25">
        <v>2</v>
      </c>
      <c r="K18" s="25">
        <v>2</v>
      </c>
      <c r="L18" s="25">
        <v>2</v>
      </c>
    </row>
    <row r="19" spans="2:12" ht="15.75" thickBot="1">
      <c r="B19" s="20" t="s">
        <v>141</v>
      </c>
      <c r="C19" s="25">
        <v>22</v>
      </c>
      <c r="D19" s="25">
        <v>9</v>
      </c>
      <c r="E19" s="25">
        <v>1</v>
      </c>
      <c r="F19" s="25">
        <v>2</v>
      </c>
      <c r="G19" s="25"/>
      <c r="H19" s="25">
        <v>1</v>
      </c>
      <c r="I19" s="25">
        <v>2</v>
      </c>
      <c r="J19" s="25">
        <v>1</v>
      </c>
      <c r="K19" s="25">
        <v>1</v>
      </c>
      <c r="L19" s="25">
        <v>1</v>
      </c>
    </row>
    <row r="20" spans="2:12" ht="15.75" thickBot="1">
      <c r="B20" s="18" t="s">
        <v>142</v>
      </c>
      <c r="C20" s="24">
        <v>176</v>
      </c>
      <c r="D20" s="24">
        <v>68</v>
      </c>
      <c r="E20" s="24">
        <v>5</v>
      </c>
      <c r="F20" s="24">
        <v>6</v>
      </c>
      <c r="G20" s="24">
        <v>3</v>
      </c>
      <c r="H20" s="24">
        <v>5</v>
      </c>
      <c r="I20" s="24">
        <v>8</v>
      </c>
      <c r="J20" s="24">
        <v>7</v>
      </c>
      <c r="K20" s="24">
        <v>5</v>
      </c>
      <c r="L20" s="24">
        <v>3</v>
      </c>
    </row>
    <row r="21" spans="2:12" ht="15.75" thickBot="1">
      <c r="B21" s="21" t="s">
        <v>108</v>
      </c>
      <c r="C21" s="25">
        <v>44</v>
      </c>
      <c r="D21" s="25">
        <v>18</v>
      </c>
      <c r="E21" s="25">
        <v>1</v>
      </c>
      <c r="F21" s="25">
        <v>1</v>
      </c>
      <c r="G21" s="25"/>
      <c r="H21" s="26">
        <v>3</v>
      </c>
      <c r="I21" s="25">
        <v>1</v>
      </c>
      <c r="J21" s="25">
        <v>3</v>
      </c>
      <c r="K21" s="25">
        <v>2</v>
      </c>
      <c r="L21" s="25">
        <v>1</v>
      </c>
    </row>
    <row r="22" spans="2:12" ht="30.75" thickBot="1">
      <c r="B22" s="21" t="s">
        <v>143</v>
      </c>
      <c r="C22" s="25">
        <v>20</v>
      </c>
      <c r="D22" s="25">
        <v>8</v>
      </c>
      <c r="E22" s="25"/>
      <c r="F22" s="27">
        <v>1</v>
      </c>
      <c r="G22" s="27"/>
      <c r="H22" s="28"/>
      <c r="I22" s="25">
        <v>1</v>
      </c>
      <c r="J22" s="25"/>
      <c r="K22" s="25">
        <v>1</v>
      </c>
      <c r="L22" s="25">
        <v>1</v>
      </c>
    </row>
    <row r="23" spans="2:12" ht="15.75" thickBot="1">
      <c r="B23" s="21" t="s">
        <v>144</v>
      </c>
      <c r="C23" s="25">
        <v>18</v>
      </c>
      <c r="D23" s="25">
        <v>4</v>
      </c>
      <c r="E23" s="25"/>
      <c r="F23" s="29">
        <v>1</v>
      </c>
      <c r="G23" s="29">
        <v>3</v>
      </c>
      <c r="H23" s="29"/>
      <c r="I23" s="25"/>
      <c r="J23" s="25"/>
      <c r="K23" s="25"/>
      <c r="L23" s="25"/>
    </row>
    <row r="24" spans="2:12" ht="15.75" thickBot="1">
      <c r="B24" s="21" t="s">
        <v>145</v>
      </c>
      <c r="C24" s="25">
        <v>19</v>
      </c>
      <c r="D24" s="25">
        <v>11</v>
      </c>
      <c r="E24" s="25">
        <v>2</v>
      </c>
      <c r="F24" s="25"/>
      <c r="G24" s="25"/>
      <c r="H24" s="25">
        <v>1</v>
      </c>
      <c r="I24" s="25">
        <v>1</v>
      </c>
      <c r="J24" s="25">
        <v>1</v>
      </c>
      <c r="K24" s="25">
        <v>1</v>
      </c>
      <c r="L24" s="25"/>
    </row>
    <row r="25" spans="2:12" ht="15.75" thickBot="1">
      <c r="B25" s="21" t="s">
        <v>146</v>
      </c>
      <c r="C25" s="25">
        <v>24</v>
      </c>
      <c r="D25" s="25">
        <v>11</v>
      </c>
      <c r="E25" s="25"/>
      <c r="F25" s="25">
        <v>1</v>
      </c>
      <c r="G25" s="25"/>
      <c r="H25" s="25"/>
      <c r="I25" s="25">
        <v>2</v>
      </c>
      <c r="J25" s="25">
        <v>1</v>
      </c>
      <c r="K25" s="25">
        <v>1</v>
      </c>
      <c r="L25" s="25"/>
    </row>
    <row r="26" spans="2:12" ht="15.75" thickBot="1">
      <c r="B26" s="21" t="s">
        <v>147</v>
      </c>
      <c r="C26" s="25">
        <v>24</v>
      </c>
      <c r="D26" s="25">
        <v>11</v>
      </c>
      <c r="E26" s="25">
        <v>2</v>
      </c>
      <c r="F26" s="25"/>
      <c r="G26" s="25"/>
      <c r="H26" s="25">
        <v>1</v>
      </c>
      <c r="I26" s="25">
        <v>2</v>
      </c>
      <c r="J26" s="25">
        <v>2</v>
      </c>
      <c r="K26" s="25"/>
      <c r="L26" s="25">
        <v>1</v>
      </c>
    </row>
    <row r="27" spans="2:12" ht="15.75" thickBot="1">
      <c r="B27" s="21" t="s">
        <v>109</v>
      </c>
      <c r="C27" s="25">
        <v>25</v>
      </c>
      <c r="D27" s="25">
        <v>5</v>
      </c>
      <c r="E27" s="25"/>
      <c r="F27" s="25">
        <v>1</v>
      </c>
      <c r="G27" s="25"/>
      <c r="H27" s="25"/>
      <c r="I27" s="25">
        <v>1</v>
      </c>
      <c r="J27" s="25"/>
      <c r="K27" s="25"/>
      <c r="L27" s="25"/>
    </row>
    <row r="28" spans="2:12" ht="15.75" thickBot="1">
      <c r="B28" s="21" t="s">
        <v>148</v>
      </c>
      <c r="C28" s="25">
        <v>2</v>
      </c>
      <c r="D28" s="25"/>
      <c r="E28" s="25"/>
      <c r="F28" s="25">
        <v>1</v>
      </c>
      <c r="G28" s="25"/>
      <c r="H28" s="25"/>
      <c r="I28" s="25"/>
      <c r="J28" s="25"/>
      <c r="K28" s="25"/>
      <c r="L28" s="25"/>
    </row>
    <row r="29" spans="2:12" ht="15.75" thickBot="1">
      <c r="B29" s="18" t="s">
        <v>149</v>
      </c>
      <c r="C29" s="24">
        <v>140</v>
      </c>
      <c r="D29" s="24">
        <v>55</v>
      </c>
      <c r="E29" s="24">
        <v>3</v>
      </c>
      <c r="F29" s="24">
        <v>5</v>
      </c>
      <c r="G29" s="24">
        <v>3</v>
      </c>
      <c r="H29" s="24">
        <v>3</v>
      </c>
      <c r="I29" s="24">
        <v>1</v>
      </c>
      <c r="J29" s="24">
        <v>6</v>
      </c>
      <c r="K29" s="24">
        <v>4</v>
      </c>
      <c r="L29" s="24">
        <v>4</v>
      </c>
    </row>
    <row r="30" spans="2:12" ht="15.75" thickBot="1">
      <c r="B30" s="21" t="s">
        <v>110</v>
      </c>
      <c r="C30" s="25">
        <v>52</v>
      </c>
      <c r="D30" s="25">
        <v>23</v>
      </c>
      <c r="E30" s="25">
        <v>1</v>
      </c>
      <c r="F30" s="25">
        <v>1</v>
      </c>
      <c r="G30" s="25">
        <v>1</v>
      </c>
      <c r="H30" s="25"/>
      <c r="I30" s="25"/>
      <c r="J30" s="25">
        <v>2</v>
      </c>
      <c r="K30" s="25">
        <v>1</v>
      </c>
      <c r="L30" s="25"/>
    </row>
    <row r="31" spans="2:12" ht="15.75" thickBot="1">
      <c r="B31" s="21" t="s">
        <v>111</v>
      </c>
      <c r="C31" s="25">
        <v>12</v>
      </c>
      <c r="D31" s="25">
        <v>5</v>
      </c>
      <c r="E31" s="25"/>
      <c r="F31" s="25"/>
      <c r="G31" s="25"/>
      <c r="H31" s="25"/>
      <c r="I31" s="26">
        <v>1</v>
      </c>
      <c r="J31" s="25"/>
      <c r="K31" s="25">
        <v>1</v>
      </c>
      <c r="L31" s="25">
        <v>1</v>
      </c>
    </row>
    <row r="32" spans="2:12" ht="15.75" thickBot="1">
      <c r="B32" s="21" t="s">
        <v>115</v>
      </c>
      <c r="C32" s="25">
        <v>13</v>
      </c>
      <c r="D32" s="25">
        <v>1</v>
      </c>
      <c r="E32" s="25"/>
      <c r="F32" s="25"/>
      <c r="G32" s="25"/>
      <c r="H32" s="25"/>
      <c r="I32" s="25"/>
      <c r="J32" s="25">
        <v>1</v>
      </c>
      <c r="K32" s="25">
        <v>1</v>
      </c>
      <c r="L32" s="25"/>
    </row>
    <row r="33" spans="2:12" ht="15.75" thickBot="1">
      <c r="B33" s="21" t="s">
        <v>150</v>
      </c>
      <c r="C33" s="25">
        <v>11</v>
      </c>
      <c r="D33" s="25">
        <v>3</v>
      </c>
      <c r="E33" s="25"/>
      <c r="F33" s="25">
        <v>1</v>
      </c>
      <c r="G33" s="25"/>
      <c r="H33" s="25"/>
      <c r="I33" s="25"/>
      <c r="J33" s="25"/>
      <c r="K33" s="25"/>
      <c r="L33" s="25"/>
    </row>
    <row r="34" spans="2:12" ht="15.75" thickBot="1">
      <c r="B34" s="21" t="s">
        <v>114</v>
      </c>
      <c r="C34" s="25">
        <v>6</v>
      </c>
      <c r="D34" s="25">
        <v>4</v>
      </c>
      <c r="E34" s="25"/>
      <c r="F34" s="25"/>
      <c r="G34" s="25"/>
      <c r="H34" s="25">
        <v>2</v>
      </c>
      <c r="I34" s="25"/>
      <c r="J34" s="25"/>
      <c r="K34" s="25"/>
      <c r="L34" s="25">
        <v>1</v>
      </c>
    </row>
    <row r="35" spans="2:12" ht="15.75" thickBot="1">
      <c r="B35" s="21" t="s">
        <v>151</v>
      </c>
      <c r="C35" s="25">
        <v>12</v>
      </c>
      <c r="D35" s="25">
        <v>6</v>
      </c>
      <c r="E35" s="25">
        <v>1</v>
      </c>
      <c r="F35" s="25">
        <v>1</v>
      </c>
      <c r="G35" s="25"/>
      <c r="H35" s="25"/>
      <c r="I35" s="25"/>
      <c r="J35" s="25"/>
      <c r="K35" s="25"/>
      <c r="L35" s="25"/>
    </row>
    <row r="36" spans="2:12" ht="15.75" thickBot="1">
      <c r="B36" s="21" t="s">
        <v>112</v>
      </c>
      <c r="C36" s="25">
        <v>24</v>
      </c>
      <c r="D36" s="25">
        <v>10</v>
      </c>
      <c r="E36" s="25">
        <v>1</v>
      </c>
      <c r="F36" s="25">
        <v>1</v>
      </c>
      <c r="G36" s="25">
        <v>1</v>
      </c>
      <c r="H36" s="25">
        <v>1</v>
      </c>
      <c r="I36" s="25"/>
      <c r="J36" s="25">
        <v>2</v>
      </c>
      <c r="K36" s="25">
        <v>1</v>
      </c>
      <c r="L36" s="25">
        <v>1</v>
      </c>
    </row>
    <row r="37" spans="2:12" ht="15.75" thickBot="1">
      <c r="B37" s="21" t="s">
        <v>113</v>
      </c>
      <c r="C37" s="25">
        <v>10</v>
      </c>
      <c r="D37" s="26">
        <v>3</v>
      </c>
      <c r="E37" s="25"/>
      <c r="F37" s="25">
        <v>1</v>
      </c>
      <c r="G37" s="25">
        <v>1</v>
      </c>
      <c r="H37" s="25"/>
      <c r="I37" s="25"/>
      <c r="J37" s="25">
        <v>1</v>
      </c>
      <c r="K37" s="25"/>
      <c r="L37" s="25">
        <v>1</v>
      </c>
    </row>
    <row r="38" spans="2:12" ht="15.75" thickBot="1">
      <c r="B38" s="18" t="s">
        <v>152</v>
      </c>
      <c r="C38" s="24">
        <v>151</v>
      </c>
      <c r="D38" s="24">
        <v>63</v>
      </c>
      <c r="E38" s="24">
        <v>1</v>
      </c>
      <c r="F38" s="24">
        <v>2</v>
      </c>
      <c r="G38" s="24">
        <v>1</v>
      </c>
      <c r="H38" s="24">
        <v>11</v>
      </c>
      <c r="I38" s="24">
        <v>13</v>
      </c>
      <c r="J38" s="24">
        <v>6</v>
      </c>
      <c r="K38" s="24">
        <v>5</v>
      </c>
      <c r="L38" s="24">
        <v>5</v>
      </c>
    </row>
    <row r="39" spans="2:12" ht="15.75" thickBot="1">
      <c r="B39" s="20" t="s">
        <v>153</v>
      </c>
      <c r="C39" s="26">
        <v>9</v>
      </c>
      <c r="D39" s="26">
        <v>2</v>
      </c>
      <c r="E39" s="26"/>
      <c r="F39" s="26"/>
      <c r="G39" s="26"/>
      <c r="H39" s="26"/>
      <c r="I39" s="26">
        <v>1</v>
      </c>
      <c r="J39" s="26"/>
      <c r="K39" s="25"/>
      <c r="L39" s="26"/>
    </row>
    <row r="40" spans="2:12" ht="15.75" thickBot="1">
      <c r="B40" s="20" t="s">
        <v>154</v>
      </c>
      <c r="C40" s="26">
        <v>16</v>
      </c>
      <c r="D40" s="26">
        <v>7</v>
      </c>
      <c r="E40" s="26">
        <v>1</v>
      </c>
      <c r="F40" s="26"/>
      <c r="G40" s="26"/>
      <c r="H40" s="26">
        <v>2</v>
      </c>
      <c r="I40" s="26">
        <v>1</v>
      </c>
      <c r="J40" s="26">
        <v>1</v>
      </c>
      <c r="K40" s="25"/>
      <c r="L40" s="26">
        <v>1</v>
      </c>
    </row>
    <row r="41" spans="2:12" ht="15.75" thickBot="1">
      <c r="B41" s="20" t="s">
        <v>155</v>
      </c>
      <c r="C41" s="26">
        <v>25</v>
      </c>
      <c r="D41" s="26">
        <v>8</v>
      </c>
      <c r="E41" s="26"/>
      <c r="F41" s="26">
        <v>1</v>
      </c>
      <c r="G41" s="26">
        <v>1</v>
      </c>
      <c r="H41" s="26"/>
      <c r="I41" s="26">
        <v>3</v>
      </c>
      <c r="J41" s="26">
        <v>2</v>
      </c>
      <c r="K41" s="25"/>
      <c r="L41" s="26">
        <v>3</v>
      </c>
    </row>
    <row r="42" spans="2:12" ht="15.75" thickBot="1">
      <c r="B42" s="20" t="s">
        <v>156</v>
      </c>
      <c r="C42" s="26">
        <v>13</v>
      </c>
      <c r="D42" s="26">
        <v>5</v>
      </c>
      <c r="E42" s="26"/>
      <c r="F42" s="26"/>
      <c r="G42" s="26"/>
      <c r="H42" s="26"/>
      <c r="I42" s="26">
        <v>1</v>
      </c>
      <c r="J42" s="26">
        <v>1</v>
      </c>
      <c r="K42" s="25">
        <v>1</v>
      </c>
      <c r="L42" s="26"/>
    </row>
    <row r="43" spans="2:12" ht="15.75" thickBot="1">
      <c r="B43" s="20" t="s">
        <v>157</v>
      </c>
      <c r="C43" s="26">
        <v>21</v>
      </c>
      <c r="D43" s="26">
        <v>11</v>
      </c>
      <c r="E43" s="26"/>
      <c r="F43" s="26"/>
      <c r="G43" s="26"/>
      <c r="H43" s="26">
        <v>1</v>
      </c>
      <c r="I43" s="26">
        <v>3</v>
      </c>
      <c r="J43" s="26">
        <v>1</v>
      </c>
      <c r="K43" s="25">
        <v>1</v>
      </c>
      <c r="L43" s="26"/>
    </row>
    <row r="44" spans="2:12" ht="15.75" thickBot="1">
      <c r="B44" s="20" t="s">
        <v>158</v>
      </c>
      <c r="C44" s="26">
        <v>18</v>
      </c>
      <c r="D44" s="26">
        <v>5</v>
      </c>
      <c r="E44" s="26"/>
      <c r="F44" s="26">
        <v>1</v>
      </c>
      <c r="G44" s="26"/>
      <c r="H44" s="26">
        <v>2</v>
      </c>
      <c r="I44" s="26"/>
      <c r="J44" s="26">
        <v>1</v>
      </c>
      <c r="K44" s="26"/>
      <c r="L44" s="26"/>
    </row>
    <row r="45" spans="2:12" ht="15.75" thickBot="1">
      <c r="B45" s="20" t="s">
        <v>159</v>
      </c>
      <c r="C45" s="26">
        <v>2</v>
      </c>
      <c r="D45" s="26">
        <v>0</v>
      </c>
      <c r="E45" s="26"/>
      <c r="F45" s="26"/>
      <c r="G45" s="26"/>
      <c r="H45" s="26"/>
      <c r="I45" s="26"/>
      <c r="J45" s="26"/>
      <c r="K45" s="26"/>
      <c r="L45" s="26"/>
    </row>
    <row r="46" spans="2:12" ht="15.75" thickBot="1">
      <c r="B46" s="20" t="s">
        <v>160</v>
      </c>
      <c r="C46" s="26">
        <v>12</v>
      </c>
      <c r="D46" s="26">
        <v>6</v>
      </c>
      <c r="E46" s="26"/>
      <c r="F46" s="26"/>
      <c r="G46" s="26"/>
      <c r="H46" s="26"/>
      <c r="I46" s="26"/>
      <c r="J46" s="26"/>
      <c r="K46" s="26">
        <v>1</v>
      </c>
      <c r="L46" s="26">
        <v>1</v>
      </c>
    </row>
    <row r="47" spans="2:12" ht="15.75" thickBot="1">
      <c r="B47" s="20" t="s">
        <v>161</v>
      </c>
      <c r="C47" s="26">
        <v>7</v>
      </c>
      <c r="D47" s="26">
        <v>4</v>
      </c>
      <c r="E47" s="26"/>
      <c r="F47" s="26"/>
      <c r="G47" s="26"/>
      <c r="H47" s="26">
        <v>1</v>
      </c>
      <c r="I47" s="26">
        <v>1</v>
      </c>
      <c r="J47" s="26"/>
      <c r="K47" s="25"/>
      <c r="L47" s="26"/>
    </row>
    <row r="48" spans="2:12" ht="15.75" thickBot="1">
      <c r="B48" s="20" t="s">
        <v>162</v>
      </c>
      <c r="C48" s="26">
        <v>28</v>
      </c>
      <c r="D48" s="26">
        <v>15</v>
      </c>
      <c r="E48" s="26"/>
      <c r="F48" s="26"/>
      <c r="G48" s="26"/>
      <c r="H48" s="26">
        <v>5</v>
      </c>
      <c r="I48" s="26">
        <v>3</v>
      </c>
      <c r="J48" s="26"/>
      <c r="K48" s="26">
        <v>2</v>
      </c>
      <c r="L48" s="26"/>
    </row>
    <row r="49" spans="2:12" ht="15.75" thickBot="1">
      <c r="B49" s="18" t="s">
        <v>163</v>
      </c>
      <c r="C49" s="24">
        <v>555</v>
      </c>
      <c r="D49" s="24">
        <v>127</v>
      </c>
      <c r="E49" s="24">
        <v>24</v>
      </c>
      <c r="F49" s="24">
        <v>4</v>
      </c>
      <c r="G49" s="24">
        <v>2</v>
      </c>
      <c r="H49" s="24">
        <v>11</v>
      </c>
      <c r="I49" s="24">
        <v>9</v>
      </c>
      <c r="J49" s="24">
        <v>5</v>
      </c>
      <c r="K49" s="24">
        <v>5</v>
      </c>
      <c r="L49" s="24">
        <v>10</v>
      </c>
    </row>
    <row r="50" spans="2:12" ht="15.75" thickBot="1">
      <c r="B50" s="21" t="s">
        <v>164</v>
      </c>
      <c r="C50" s="25">
        <v>11</v>
      </c>
      <c r="D50" s="25">
        <v>1</v>
      </c>
      <c r="E50" s="25"/>
      <c r="F50" s="25"/>
      <c r="G50" s="25">
        <v>1</v>
      </c>
      <c r="H50" s="25"/>
      <c r="I50" s="25"/>
      <c r="J50" s="25"/>
      <c r="K50" s="25"/>
      <c r="L50" s="25"/>
    </row>
    <row r="51" spans="2:12" ht="15.75" thickBot="1">
      <c r="B51" s="21" t="s">
        <v>118</v>
      </c>
      <c r="C51" s="25">
        <v>31</v>
      </c>
      <c r="D51" s="25">
        <v>10</v>
      </c>
      <c r="E51" s="25">
        <v>1</v>
      </c>
      <c r="F51" s="25"/>
      <c r="G51" s="25"/>
      <c r="H51" s="25">
        <v>1</v>
      </c>
      <c r="I51" s="25"/>
      <c r="J51" s="25"/>
      <c r="K51" s="25"/>
      <c r="L51" s="25">
        <v>1</v>
      </c>
    </row>
    <row r="52" spans="2:12" ht="15.75" thickBot="1">
      <c r="B52" s="21" t="s">
        <v>119</v>
      </c>
      <c r="C52" s="25">
        <v>16</v>
      </c>
      <c r="D52" s="25">
        <v>2</v>
      </c>
      <c r="E52" s="25">
        <v>1</v>
      </c>
      <c r="F52" s="25"/>
      <c r="G52" s="25"/>
      <c r="H52" s="25"/>
      <c r="I52" s="25">
        <v>1</v>
      </c>
      <c r="J52" s="25"/>
      <c r="K52" s="25">
        <v>1</v>
      </c>
      <c r="L52" s="25"/>
    </row>
    <row r="53" spans="2:12" ht="15.75" thickBot="1">
      <c r="B53" s="21" t="s">
        <v>165</v>
      </c>
      <c r="C53" s="25">
        <v>13</v>
      </c>
      <c r="D53" s="25">
        <v>2</v>
      </c>
      <c r="E53" s="25"/>
      <c r="F53" s="25"/>
      <c r="G53" s="25"/>
      <c r="H53" s="25"/>
      <c r="I53" s="25"/>
      <c r="J53" s="25"/>
      <c r="K53" s="25"/>
      <c r="L53" s="25"/>
    </row>
    <row r="54" spans="2:12" ht="15.75" thickBot="1">
      <c r="B54" s="21" t="s">
        <v>166</v>
      </c>
      <c r="C54" s="25">
        <v>9</v>
      </c>
      <c r="D54" s="25">
        <v>1</v>
      </c>
      <c r="E54" s="25">
        <v>1</v>
      </c>
      <c r="F54" s="25">
        <v>1</v>
      </c>
      <c r="G54" s="25"/>
      <c r="H54" s="25"/>
      <c r="I54" s="25"/>
      <c r="J54" s="25"/>
      <c r="K54" s="25"/>
      <c r="L54" s="25"/>
    </row>
    <row r="55" spans="2:12" ht="15.75" thickBot="1">
      <c r="B55" s="21" t="s">
        <v>117</v>
      </c>
      <c r="C55" s="25">
        <v>429</v>
      </c>
      <c r="D55" s="25">
        <v>97</v>
      </c>
      <c r="E55" s="25">
        <v>17</v>
      </c>
      <c r="F55" s="25">
        <v>2</v>
      </c>
      <c r="G55" s="25"/>
      <c r="H55" s="25">
        <v>9</v>
      </c>
      <c r="I55" s="25">
        <v>8</v>
      </c>
      <c r="J55" s="25">
        <v>5</v>
      </c>
      <c r="K55" s="25">
        <v>3</v>
      </c>
      <c r="L55" s="25">
        <v>9</v>
      </c>
    </row>
    <row r="56" spans="2:12" ht="15.75" thickBot="1">
      <c r="B56" s="21" t="s">
        <v>120</v>
      </c>
      <c r="C56" s="25">
        <v>10</v>
      </c>
      <c r="D56" s="25">
        <v>4</v>
      </c>
      <c r="E56" s="25"/>
      <c r="F56" s="25"/>
      <c r="G56" s="25"/>
      <c r="H56" s="25">
        <v>1</v>
      </c>
      <c r="I56" s="25"/>
      <c r="J56" s="25"/>
      <c r="K56" s="25">
        <v>1</v>
      </c>
      <c r="L56" s="25"/>
    </row>
    <row r="57" spans="2:12" ht="15.75" thickBot="1">
      <c r="B57" s="21" t="s">
        <v>167</v>
      </c>
      <c r="C57" s="25">
        <v>13</v>
      </c>
      <c r="D57" s="25">
        <v>3</v>
      </c>
      <c r="E57" s="25">
        <v>1</v>
      </c>
      <c r="F57" s="25"/>
      <c r="G57" s="25"/>
      <c r="H57" s="25"/>
      <c r="I57" s="25"/>
      <c r="J57" s="25"/>
      <c r="K57" s="25"/>
      <c r="L57" s="25"/>
    </row>
    <row r="58" spans="2:12" ht="15.75" thickBot="1">
      <c r="B58" s="21" t="s">
        <v>168</v>
      </c>
      <c r="C58" s="25">
        <v>4</v>
      </c>
      <c r="D58" s="25">
        <v>2</v>
      </c>
      <c r="E58" s="25">
        <v>1</v>
      </c>
      <c r="F58" s="25"/>
      <c r="G58" s="25"/>
      <c r="H58" s="25"/>
      <c r="I58" s="25"/>
      <c r="J58" s="25"/>
      <c r="K58" s="25"/>
      <c r="L58" s="25"/>
    </row>
    <row r="59" spans="2:12" ht="15.75" thickBot="1">
      <c r="B59" s="21" t="s">
        <v>169</v>
      </c>
      <c r="C59" s="25">
        <v>19</v>
      </c>
      <c r="D59" s="25">
        <v>5</v>
      </c>
      <c r="E59" s="25">
        <v>2</v>
      </c>
      <c r="F59" s="25">
        <v>1</v>
      </c>
      <c r="G59" s="25">
        <v>1</v>
      </c>
      <c r="H59" s="25"/>
      <c r="I59" s="25"/>
      <c r="J59" s="25"/>
      <c r="K59" s="25"/>
      <c r="L59" s="25"/>
    </row>
  </sheetData>
  <autoFilter ref="B10:L10" xr:uid="{28A4A45C-DE21-4F78-BE3D-382A6EE95FDD}"/>
  <mergeCells count="4">
    <mergeCell ref="C9:D9"/>
    <mergeCell ref="E9:G9"/>
    <mergeCell ref="H9:L9"/>
    <mergeCell ref="B7:I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9319-5940-4080-8469-3D982DFBFAEB}">
  <dimension ref="B2:K66"/>
  <sheetViews>
    <sheetView topLeftCell="A53" zoomScale="90" zoomScaleNormal="90" workbookViewId="0">
      <selection activeCell="P12" sqref="P12"/>
    </sheetView>
  </sheetViews>
  <sheetFormatPr defaultRowHeight="15"/>
  <cols>
    <col min="1" max="1" width="6" customWidth="1"/>
    <col min="2" max="2" width="24.85546875" customWidth="1"/>
    <col min="3" max="8" width="0" hidden="1" customWidth="1"/>
    <col min="9" max="10" width="9.140625" style="1"/>
    <col min="11" max="11" width="37.5703125" customWidth="1"/>
  </cols>
  <sheetData>
    <row r="2" spans="2:11" ht="15.75">
      <c r="K2" s="59" t="s">
        <v>223</v>
      </c>
    </row>
    <row r="3" spans="2:11" ht="15.75">
      <c r="K3" s="59" t="s">
        <v>218</v>
      </c>
    </row>
    <row r="4" spans="2:11" ht="15.75">
      <c r="K4" s="59" t="s">
        <v>219</v>
      </c>
    </row>
    <row r="9" spans="2:11">
      <c r="B9" s="114" t="s">
        <v>33</v>
      </c>
      <c r="C9" s="114"/>
      <c r="D9" s="114"/>
      <c r="E9" s="114"/>
      <c r="F9" s="114"/>
      <c r="G9" s="82"/>
      <c r="H9" s="82"/>
      <c r="I9" s="82"/>
      <c r="J9" s="82"/>
      <c r="K9" s="82"/>
    </row>
    <row r="11" spans="2:11">
      <c r="B11" s="117" t="s">
        <v>170</v>
      </c>
      <c r="C11" s="107" t="s">
        <v>185</v>
      </c>
      <c r="D11" s="107"/>
      <c r="E11" s="107"/>
      <c r="F11" s="107"/>
      <c r="G11" s="107"/>
      <c r="H11" s="107"/>
      <c r="I11" s="107" t="s">
        <v>186</v>
      </c>
      <c r="J11" s="107"/>
      <c r="K11" s="107" t="s">
        <v>187</v>
      </c>
    </row>
    <row r="12" spans="2:11" ht="28.5">
      <c r="B12" s="118"/>
      <c r="C12" s="2" t="s">
        <v>188</v>
      </c>
      <c r="D12" s="2" t="s">
        <v>189</v>
      </c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194</v>
      </c>
      <c r="J12" s="2" t="s">
        <v>225</v>
      </c>
      <c r="K12" s="107"/>
    </row>
    <row r="13" spans="2:11">
      <c r="B13" s="60"/>
      <c r="C13" s="2"/>
      <c r="D13" s="2"/>
      <c r="E13" s="2"/>
      <c r="F13" s="2"/>
      <c r="G13" s="2"/>
      <c r="H13" s="2"/>
      <c r="I13" s="2"/>
      <c r="J13" s="2"/>
      <c r="K13" s="2"/>
    </row>
    <row r="14" spans="2:11">
      <c r="B14" s="46" t="s">
        <v>134</v>
      </c>
      <c r="C14" s="46">
        <f t="shared" ref="C14:H14" si="0">C15+C23+C32+C41+C52</f>
        <v>260</v>
      </c>
      <c r="D14" s="46">
        <f t="shared" si="0"/>
        <v>277</v>
      </c>
      <c r="E14" s="46">
        <f t="shared" si="0"/>
        <v>272</v>
      </c>
      <c r="F14" s="46">
        <f t="shared" si="0"/>
        <v>272</v>
      </c>
      <c r="G14" s="46">
        <f t="shared" si="0"/>
        <v>268</v>
      </c>
      <c r="H14" s="46">
        <f t="shared" si="0"/>
        <v>257</v>
      </c>
      <c r="I14" s="69" t="s">
        <v>220</v>
      </c>
      <c r="J14" s="69" t="s">
        <v>220</v>
      </c>
      <c r="K14" s="47"/>
    </row>
    <row r="15" spans="2:11">
      <c r="B15" s="48" t="s">
        <v>135</v>
      </c>
      <c r="C15" s="48">
        <f t="shared" ref="C15:D15" si="1">SUM(C16:C22)</f>
        <v>57</v>
      </c>
      <c r="D15" s="48">
        <f t="shared" si="1"/>
        <v>56</v>
      </c>
      <c r="E15" s="48">
        <f t="shared" ref="E15:H15" si="2">SUM(E16:E22)</f>
        <v>55</v>
      </c>
      <c r="F15" s="48">
        <f t="shared" si="2"/>
        <v>54</v>
      </c>
      <c r="G15" s="48">
        <f t="shared" si="2"/>
        <v>55</v>
      </c>
      <c r="H15" s="48">
        <f t="shared" si="2"/>
        <v>52</v>
      </c>
      <c r="I15" s="48"/>
      <c r="J15" s="48"/>
      <c r="K15" s="49"/>
    </row>
    <row r="16" spans="2:11">
      <c r="B16" s="50" t="s">
        <v>195</v>
      </c>
      <c r="C16" s="42">
        <v>11</v>
      </c>
      <c r="D16" s="42">
        <v>11</v>
      </c>
      <c r="E16" s="42">
        <v>11</v>
      </c>
      <c r="F16" s="42">
        <v>11</v>
      </c>
      <c r="G16" s="42">
        <v>13</v>
      </c>
      <c r="H16" s="51">
        <v>12</v>
      </c>
      <c r="I16" s="39">
        <v>20</v>
      </c>
      <c r="J16" s="39">
        <v>366</v>
      </c>
      <c r="K16" s="52" t="s">
        <v>196</v>
      </c>
    </row>
    <row r="17" spans="2:11">
      <c r="B17" s="50" t="s">
        <v>197</v>
      </c>
      <c r="C17" s="42">
        <v>3</v>
      </c>
      <c r="D17" s="42">
        <v>3</v>
      </c>
      <c r="E17" s="42">
        <v>3</v>
      </c>
      <c r="F17" s="42">
        <v>3</v>
      </c>
      <c r="G17" s="42">
        <v>3</v>
      </c>
      <c r="H17" s="42">
        <v>3</v>
      </c>
      <c r="I17" s="39">
        <v>20</v>
      </c>
      <c r="J17" s="39">
        <v>20</v>
      </c>
      <c r="K17" s="52"/>
    </row>
    <row r="18" spans="2:11">
      <c r="B18" s="50" t="s">
        <v>137</v>
      </c>
      <c r="C18" s="42">
        <v>9</v>
      </c>
      <c r="D18" s="42">
        <v>9</v>
      </c>
      <c r="E18" s="42">
        <v>10</v>
      </c>
      <c r="F18" s="42">
        <v>10</v>
      </c>
      <c r="G18" s="42">
        <v>9</v>
      </c>
      <c r="H18" s="42">
        <v>9</v>
      </c>
      <c r="I18" s="39">
        <v>20</v>
      </c>
      <c r="J18" s="39">
        <v>20</v>
      </c>
      <c r="K18" s="52"/>
    </row>
    <row r="19" spans="2:11">
      <c r="B19" s="50" t="s">
        <v>138</v>
      </c>
      <c r="C19" s="42">
        <v>7</v>
      </c>
      <c r="D19" s="42">
        <v>6</v>
      </c>
      <c r="E19" s="42">
        <v>6</v>
      </c>
      <c r="F19" s="42">
        <v>6</v>
      </c>
      <c r="G19" s="42">
        <v>6</v>
      </c>
      <c r="H19" s="42">
        <v>6</v>
      </c>
      <c r="I19" s="39">
        <v>20</v>
      </c>
      <c r="J19" s="39">
        <v>34</v>
      </c>
      <c r="K19" s="52"/>
    </row>
    <row r="20" spans="2:11">
      <c r="B20" s="50" t="s">
        <v>139</v>
      </c>
      <c r="C20" s="42">
        <v>12</v>
      </c>
      <c r="D20" s="42">
        <v>12</v>
      </c>
      <c r="E20" s="42">
        <v>11</v>
      </c>
      <c r="F20" s="42">
        <v>11</v>
      </c>
      <c r="G20" s="42">
        <v>11</v>
      </c>
      <c r="H20" s="42">
        <v>11</v>
      </c>
      <c r="I20" s="39">
        <v>20</v>
      </c>
      <c r="J20" s="39">
        <v>406</v>
      </c>
      <c r="K20" s="52"/>
    </row>
    <row r="21" spans="2:11">
      <c r="B21" s="50" t="s">
        <v>140</v>
      </c>
      <c r="C21" s="42">
        <v>10</v>
      </c>
      <c r="D21" s="42">
        <v>11</v>
      </c>
      <c r="E21" s="42">
        <v>10</v>
      </c>
      <c r="F21" s="42">
        <v>10</v>
      </c>
      <c r="G21" s="42">
        <v>10</v>
      </c>
      <c r="H21" s="51">
        <v>9</v>
      </c>
      <c r="I21" s="39">
        <v>20</v>
      </c>
      <c r="J21" s="39">
        <v>67</v>
      </c>
      <c r="K21" s="52" t="s">
        <v>196</v>
      </c>
    </row>
    <row r="22" spans="2:11" ht="37.5" customHeight="1">
      <c r="B22" s="50" t="s">
        <v>141</v>
      </c>
      <c r="C22" s="42">
        <v>5</v>
      </c>
      <c r="D22" s="42">
        <v>4</v>
      </c>
      <c r="E22" s="42">
        <v>4</v>
      </c>
      <c r="F22" s="42">
        <v>3</v>
      </c>
      <c r="G22" s="42">
        <v>3</v>
      </c>
      <c r="H22" s="51">
        <v>2</v>
      </c>
      <c r="I22" s="39">
        <v>20</v>
      </c>
      <c r="J22" s="39">
        <v>90</v>
      </c>
      <c r="K22" s="53" t="s">
        <v>198</v>
      </c>
    </row>
    <row r="23" spans="2:11">
      <c r="B23" s="54" t="s">
        <v>142</v>
      </c>
      <c r="C23" s="54">
        <f t="shared" ref="C23:H23" si="3">SUM(C24:C31)</f>
        <v>52</v>
      </c>
      <c r="D23" s="54">
        <f t="shared" si="3"/>
        <v>54</v>
      </c>
      <c r="E23" s="54">
        <f t="shared" si="3"/>
        <v>51</v>
      </c>
      <c r="F23" s="54">
        <f t="shared" si="3"/>
        <v>52</v>
      </c>
      <c r="G23" s="54">
        <f t="shared" si="3"/>
        <v>48</v>
      </c>
      <c r="H23" s="54">
        <f t="shared" si="3"/>
        <v>43</v>
      </c>
      <c r="I23" s="54"/>
      <c r="J23" s="54"/>
      <c r="K23" s="49"/>
    </row>
    <row r="24" spans="2:11">
      <c r="B24" s="42" t="s">
        <v>199</v>
      </c>
      <c r="C24" s="42">
        <v>6</v>
      </c>
      <c r="D24" s="42">
        <v>7</v>
      </c>
      <c r="E24" s="42">
        <v>7</v>
      </c>
      <c r="F24" s="42">
        <v>8</v>
      </c>
      <c r="G24" s="42">
        <v>8</v>
      </c>
      <c r="H24" s="51">
        <v>7</v>
      </c>
      <c r="I24" s="39">
        <v>3</v>
      </c>
      <c r="J24" s="39">
        <v>480</v>
      </c>
      <c r="K24" s="52" t="s">
        <v>196</v>
      </c>
    </row>
    <row r="25" spans="2:11">
      <c r="B25" s="42" t="s">
        <v>200</v>
      </c>
      <c r="C25" s="42">
        <v>8</v>
      </c>
      <c r="D25" s="42">
        <v>8</v>
      </c>
      <c r="E25" s="42">
        <v>7</v>
      </c>
      <c r="F25" s="42">
        <v>7</v>
      </c>
      <c r="G25" s="42">
        <v>6</v>
      </c>
      <c r="H25" s="51">
        <v>4</v>
      </c>
      <c r="I25" s="39">
        <v>20</v>
      </c>
      <c r="J25" s="39">
        <v>210</v>
      </c>
      <c r="K25" s="52" t="s">
        <v>196</v>
      </c>
    </row>
    <row r="26" spans="2:11">
      <c r="B26" s="42" t="s">
        <v>144</v>
      </c>
      <c r="C26" s="42">
        <v>6</v>
      </c>
      <c r="D26" s="42">
        <v>6</v>
      </c>
      <c r="E26" s="42">
        <v>5</v>
      </c>
      <c r="F26" s="42">
        <v>5</v>
      </c>
      <c r="G26" s="42">
        <v>5</v>
      </c>
      <c r="H26" s="42">
        <v>5</v>
      </c>
      <c r="I26" s="39">
        <v>20</v>
      </c>
      <c r="J26" s="39">
        <v>104</v>
      </c>
      <c r="K26" s="52"/>
    </row>
    <row r="27" spans="2:11">
      <c r="B27" s="42" t="s">
        <v>145</v>
      </c>
      <c r="C27" s="42">
        <v>4</v>
      </c>
      <c r="D27" s="42">
        <v>5</v>
      </c>
      <c r="E27" s="42">
        <v>4</v>
      </c>
      <c r="F27" s="42">
        <v>4</v>
      </c>
      <c r="G27" s="42">
        <v>4</v>
      </c>
      <c r="H27" s="42">
        <v>4</v>
      </c>
      <c r="I27" s="39">
        <v>14</v>
      </c>
      <c r="J27" s="39">
        <v>180</v>
      </c>
      <c r="K27" s="52"/>
    </row>
    <row r="28" spans="2:11">
      <c r="B28" s="42" t="s">
        <v>146</v>
      </c>
      <c r="C28" s="42">
        <v>8</v>
      </c>
      <c r="D28" s="42">
        <v>8</v>
      </c>
      <c r="E28" s="42">
        <v>9</v>
      </c>
      <c r="F28" s="42">
        <v>9</v>
      </c>
      <c r="G28" s="42">
        <v>8</v>
      </c>
      <c r="H28" s="42">
        <v>8</v>
      </c>
      <c r="I28" s="39">
        <v>16</v>
      </c>
      <c r="J28" s="39">
        <v>170</v>
      </c>
      <c r="K28" s="52"/>
    </row>
    <row r="29" spans="2:11">
      <c r="B29" s="42" t="s">
        <v>147</v>
      </c>
      <c r="C29" s="42">
        <v>12</v>
      </c>
      <c r="D29" s="42">
        <v>12</v>
      </c>
      <c r="E29" s="42">
        <v>12</v>
      </c>
      <c r="F29" s="42">
        <v>12</v>
      </c>
      <c r="G29" s="42">
        <v>10</v>
      </c>
      <c r="H29" s="51">
        <v>7</v>
      </c>
      <c r="I29" s="39">
        <v>13</v>
      </c>
      <c r="J29" s="39">
        <v>105</v>
      </c>
      <c r="K29" s="52" t="s">
        <v>196</v>
      </c>
    </row>
    <row r="30" spans="2:11">
      <c r="B30" s="42" t="s">
        <v>201</v>
      </c>
      <c r="C30" s="42">
        <v>8</v>
      </c>
      <c r="D30" s="42">
        <v>8</v>
      </c>
      <c r="E30" s="42">
        <v>7</v>
      </c>
      <c r="F30" s="42">
        <v>7</v>
      </c>
      <c r="G30" s="42">
        <v>7</v>
      </c>
      <c r="H30" s="42">
        <v>8</v>
      </c>
      <c r="I30" s="39">
        <v>17</v>
      </c>
      <c r="J30" s="39">
        <v>122</v>
      </c>
      <c r="K30" s="52"/>
    </row>
    <row r="31" spans="2:11">
      <c r="B31" s="42" t="s">
        <v>202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39" t="s">
        <v>203</v>
      </c>
      <c r="J31" s="39" t="s">
        <v>203</v>
      </c>
      <c r="K31" s="52"/>
    </row>
    <row r="32" spans="2:11">
      <c r="B32" s="54" t="s">
        <v>149</v>
      </c>
      <c r="C32" s="54">
        <f t="shared" ref="C32:H32" si="4">SUM(C33:C40)</f>
        <v>27</v>
      </c>
      <c r="D32" s="54">
        <f t="shared" si="4"/>
        <v>28</v>
      </c>
      <c r="E32" s="54">
        <f t="shared" si="4"/>
        <v>27</v>
      </c>
      <c r="F32" s="54">
        <f t="shared" si="4"/>
        <v>29</v>
      </c>
      <c r="G32" s="54">
        <f t="shared" si="4"/>
        <v>29</v>
      </c>
      <c r="H32" s="54">
        <f t="shared" si="4"/>
        <v>29</v>
      </c>
      <c r="I32" s="54"/>
      <c r="J32" s="54"/>
      <c r="K32" s="49"/>
    </row>
    <row r="33" spans="2:11">
      <c r="B33" s="42" t="s">
        <v>204</v>
      </c>
      <c r="C33" s="55">
        <v>3</v>
      </c>
      <c r="D33" s="55">
        <v>3</v>
      </c>
      <c r="E33" s="55">
        <v>3</v>
      </c>
      <c r="F33" s="55">
        <v>4</v>
      </c>
      <c r="G33" s="55">
        <v>5</v>
      </c>
      <c r="H33" s="55">
        <v>6</v>
      </c>
      <c r="I33" s="61">
        <v>14</v>
      </c>
      <c r="J33" s="61">
        <v>334</v>
      </c>
      <c r="K33" s="52"/>
    </row>
    <row r="34" spans="2:11" ht="45">
      <c r="B34" s="42" t="s">
        <v>205</v>
      </c>
      <c r="C34" s="55">
        <v>3</v>
      </c>
      <c r="D34" s="55">
        <v>3</v>
      </c>
      <c r="E34" s="55">
        <v>2</v>
      </c>
      <c r="F34" s="55">
        <v>2</v>
      </c>
      <c r="G34" s="55">
        <v>2</v>
      </c>
      <c r="H34" s="56">
        <v>1</v>
      </c>
      <c r="I34" s="61">
        <v>60</v>
      </c>
      <c r="J34" s="61">
        <v>60</v>
      </c>
      <c r="K34" s="52" t="s">
        <v>206</v>
      </c>
    </row>
    <row r="35" spans="2:11">
      <c r="B35" s="42" t="s">
        <v>207</v>
      </c>
      <c r="C35" s="55">
        <v>4</v>
      </c>
      <c r="D35" s="55">
        <v>4</v>
      </c>
      <c r="E35" s="55">
        <v>4</v>
      </c>
      <c r="F35" s="55">
        <v>4</v>
      </c>
      <c r="G35" s="55">
        <v>3</v>
      </c>
      <c r="H35" s="55">
        <v>3</v>
      </c>
      <c r="I35" s="62">
        <v>42</v>
      </c>
      <c r="J35" s="62">
        <v>127</v>
      </c>
      <c r="K35" s="52"/>
    </row>
    <row r="36" spans="2:11">
      <c r="B36" s="42" t="s">
        <v>150</v>
      </c>
      <c r="C36" s="55">
        <v>8</v>
      </c>
      <c r="D36" s="55">
        <v>8</v>
      </c>
      <c r="E36" s="55">
        <v>8</v>
      </c>
      <c r="F36" s="55">
        <v>8</v>
      </c>
      <c r="G36" s="55">
        <v>8</v>
      </c>
      <c r="H36" s="55">
        <v>8</v>
      </c>
      <c r="I36" s="62">
        <v>5</v>
      </c>
      <c r="J36" s="62">
        <v>41</v>
      </c>
      <c r="K36" s="52"/>
    </row>
    <row r="37" spans="2:11" ht="39.75" customHeight="1">
      <c r="B37" s="42" t="s">
        <v>114</v>
      </c>
      <c r="C37" s="55">
        <v>2</v>
      </c>
      <c r="D37" s="55">
        <v>2</v>
      </c>
      <c r="E37" s="55">
        <v>2</v>
      </c>
      <c r="F37" s="55">
        <v>2</v>
      </c>
      <c r="G37" s="55">
        <v>2</v>
      </c>
      <c r="H37" s="56">
        <v>2</v>
      </c>
      <c r="I37" s="63">
        <v>65</v>
      </c>
      <c r="J37" s="62">
        <v>150</v>
      </c>
      <c r="K37" s="53" t="s">
        <v>208</v>
      </c>
    </row>
    <row r="38" spans="2:11" ht="61.5" customHeight="1">
      <c r="B38" s="42" t="s">
        <v>151</v>
      </c>
      <c r="C38" s="55">
        <v>3</v>
      </c>
      <c r="D38" s="55">
        <v>3</v>
      </c>
      <c r="E38" s="55">
        <v>3</v>
      </c>
      <c r="F38" s="55">
        <v>3</v>
      </c>
      <c r="G38" s="55">
        <v>3</v>
      </c>
      <c r="H38" s="56">
        <v>2</v>
      </c>
      <c r="I38" s="64">
        <v>26</v>
      </c>
      <c r="J38" s="65">
        <v>26</v>
      </c>
      <c r="K38" s="53" t="s">
        <v>209</v>
      </c>
    </row>
    <row r="39" spans="2:11">
      <c r="B39" s="42" t="s">
        <v>210</v>
      </c>
      <c r="C39" s="55">
        <v>3</v>
      </c>
      <c r="D39" s="55">
        <v>4</v>
      </c>
      <c r="E39" s="55">
        <v>4</v>
      </c>
      <c r="F39" s="55">
        <v>5</v>
      </c>
      <c r="G39" s="55">
        <v>5</v>
      </c>
      <c r="H39" s="55">
        <v>6</v>
      </c>
      <c r="I39" s="66">
        <v>30</v>
      </c>
      <c r="J39" s="67">
        <v>360</v>
      </c>
      <c r="K39" s="52"/>
    </row>
    <row r="40" spans="2:11">
      <c r="B40" s="42" t="s">
        <v>211</v>
      </c>
      <c r="C40" s="55">
        <v>1</v>
      </c>
      <c r="D40" s="55">
        <v>1</v>
      </c>
      <c r="E40" s="55">
        <v>1</v>
      </c>
      <c r="F40" s="55">
        <v>1</v>
      </c>
      <c r="G40" s="55">
        <v>1</v>
      </c>
      <c r="H40" s="55">
        <v>1</v>
      </c>
      <c r="I40" s="66">
        <v>28</v>
      </c>
      <c r="J40" s="67">
        <v>28</v>
      </c>
      <c r="K40" s="52"/>
    </row>
    <row r="41" spans="2:11">
      <c r="B41" s="54" t="s">
        <v>152</v>
      </c>
      <c r="C41" s="54">
        <f t="shared" ref="C41:H41" si="5">SUM(C42:C51)</f>
        <v>53</v>
      </c>
      <c r="D41" s="54">
        <f t="shared" si="5"/>
        <v>56</v>
      </c>
      <c r="E41" s="54">
        <f t="shared" si="5"/>
        <v>53</v>
      </c>
      <c r="F41" s="54">
        <f t="shared" si="5"/>
        <v>53</v>
      </c>
      <c r="G41" s="54">
        <f t="shared" si="5"/>
        <v>49</v>
      </c>
      <c r="H41" s="54">
        <f t="shared" si="5"/>
        <v>49</v>
      </c>
      <c r="I41" s="54"/>
      <c r="J41" s="54"/>
      <c r="K41" s="49"/>
    </row>
    <row r="42" spans="2:11" ht="30">
      <c r="B42" s="50" t="s">
        <v>153</v>
      </c>
      <c r="C42" s="42">
        <v>0</v>
      </c>
      <c r="D42" s="42">
        <v>1</v>
      </c>
      <c r="E42" s="42">
        <v>1</v>
      </c>
      <c r="F42" s="42">
        <v>1</v>
      </c>
      <c r="G42" s="42">
        <v>1</v>
      </c>
      <c r="H42" s="42">
        <v>1</v>
      </c>
      <c r="I42" s="39">
        <v>144</v>
      </c>
      <c r="J42" s="39">
        <v>144</v>
      </c>
      <c r="K42" s="53" t="s">
        <v>212</v>
      </c>
    </row>
    <row r="43" spans="2:11">
      <c r="B43" s="50" t="s">
        <v>154</v>
      </c>
      <c r="C43" s="42">
        <v>7</v>
      </c>
      <c r="D43" s="42">
        <v>7</v>
      </c>
      <c r="E43" s="42">
        <v>7</v>
      </c>
      <c r="F43" s="42">
        <v>7</v>
      </c>
      <c r="G43" s="42">
        <v>7</v>
      </c>
      <c r="H43" s="42">
        <v>7</v>
      </c>
      <c r="I43" s="39">
        <v>5</v>
      </c>
      <c r="J43" s="39">
        <v>30</v>
      </c>
      <c r="K43" s="52"/>
    </row>
    <row r="44" spans="2:11">
      <c r="B44" s="50" t="s">
        <v>155</v>
      </c>
      <c r="C44" s="42">
        <v>11</v>
      </c>
      <c r="D44" s="42">
        <v>11</v>
      </c>
      <c r="E44" s="42">
        <v>10</v>
      </c>
      <c r="F44" s="42">
        <v>11</v>
      </c>
      <c r="G44" s="42">
        <v>11</v>
      </c>
      <c r="H44" s="42">
        <v>11</v>
      </c>
      <c r="I44" s="39">
        <v>14</v>
      </c>
      <c r="J44" s="39">
        <v>350</v>
      </c>
      <c r="K44" s="52"/>
    </row>
    <row r="45" spans="2:11">
      <c r="B45" s="50" t="s">
        <v>156</v>
      </c>
      <c r="C45" s="42">
        <v>6</v>
      </c>
      <c r="D45" s="42">
        <v>6</v>
      </c>
      <c r="E45" s="42">
        <v>6</v>
      </c>
      <c r="F45" s="42">
        <v>6</v>
      </c>
      <c r="G45" s="42">
        <v>6</v>
      </c>
      <c r="H45" s="42">
        <v>6</v>
      </c>
      <c r="I45" s="39">
        <v>14</v>
      </c>
      <c r="J45" s="39">
        <v>40</v>
      </c>
      <c r="K45" s="52"/>
    </row>
    <row r="46" spans="2:11">
      <c r="B46" s="50" t="s">
        <v>157</v>
      </c>
      <c r="C46" s="42">
        <v>6</v>
      </c>
      <c r="D46" s="42">
        <v>6</v>
      </c>
      <c r="E46" s="42">
        <v>5</v>
      </c>
      <c r="F46" s="42">
        <v>4</v>
      </c>
      <c r="G46" s="42">
        <v>4</v>
      </c>
      <c r="H46" s="42">
        <v>4</v>
      </c>
      <c r="I46" s="39">
        <v>21</v>
      </c>
      <c r="J46" s="66">
        <v>46</v>
      </c>
      <c r="K46" s="52"/>
    </row>
    <row r="47" spans="2:11" ht="51" customHeight="1">
      <c r="B47" s="50" t="s">
        <v>158</v>
      </c>
      <c r="C47" s="42">
        <v>5</v>
      </c>
      <c r="D47" s="42">
        <v>6</v>
      </c>
      <c r="E47" s="42">
        <v>5</v>
      </c>
      <c r="F47" s="42">
        <v>5</v>
      </c>
      <c r="G47" s="42">
        <v>4</v>
      </c>
      <c r="H47" s="51">
        <v>3</v>
      </c>
      <c r="I47" s="39">
        <v>45</v>
      </c>
      <c r="J47" s="39">
        <v>126</v>
      </c>
      <c r="K47" s="53" t="s">
        <v>213</v>
      </c>
    </row>
    <row r="48" spans="2:11">
      <c r="B48" s="50" t="s">
        <v>160</v>
      </c>
      <c r="C48" s="42">
        <v>4</v>
      </c>
      <c r="D48" s="42">
        <v>4</v>
      </c>
      <c r="E48" s="42">
        <v>4</v>
      </c>
      <c r="F48" s="42">
        <v>4</v>
      </c>
      <c r="G48" s="42">
        <v>4</v>
      </c>
      <c r="H48" s="42">
        <v>4</v>
      </c>
      <c r="I48" s="39">
        <v>46</v>
      </c>
      <c r="J48" s="39">
        <v>201</v>
      </c>
      <c r="K48" s="52"/>
    </row>
    <row r="49" spans="2:11">
      <c r="B49" s="50" t="s">
        <v>161</v>
      </c>
      <c r="C49" s="42">
        <v>4</v>
      </c>
      <c r="D49" s="42">
        <v>4</v>
      </c>
      <c r="E49" s="42">
        <v>5</v>
      </c>
      <c r="F49" s="42">
        <v>5</v>
      </c>
      <c r="G49" s="42">
        <v>4</v>
      </c>
      <c r="H49" s="42">
        <v>4</v>
      </c>
      <c r="I49" s="39">
        <v>7</v>
      </c>
      <c r="J49" s="39">
        <v>183</v>
      </c>
      <c r="K49" s="52"/>
    </row>
    <row r="50" spans="2:11">
      <c r="B50" s="50" t="s">
        <v>162</v>
      </c>
      <c r="C50" s="42">
        <v>9</v>
      </c>
      <c r="D50" s="42">
        <v>10</v>
      </c>
      <c r="E50" s="42">
        <v>10</v>
      </c>
      <c r="F50" s="42">
        <v>10</v>
      </c>
      <c r="G50" s="42">
        <v>8</v>
      </c>
      <c r="H50" s="42">
        <v>9</v>
      </c>
      <c r="I50" s="39">
        <v>20</v>
      </c>
      <c r="J50" s="39">
        <v>91</v>
      </c>
      <c r="K50" s="52"/>
    </row>
    <row r="51" spans="2:11">
      <c r="B51" s="50" t="s">
        <v>159</v>
      </c>
      <c r="C51" s="42">
        <v>1</v>
      </c>
      <c r="D51" s="42">
        <v>1</v>
      </c>
      <c r="E51" s="42">
        <v>0</v>
      </c>
      <c r="F51" s="42">
        <v>0</v>
      </c>
      <c r="G51" s="42">
        <v>0</v>
      </c>
      <c r="H51" s="42">
        <v>0</v>
      </c>
      <c r="I51" s="39" t="s">
        <v>214</v>
      </c>
      <c r="J51" s="39" t="s">
        <v>214</v>
      </c>
      <c r="K51" s="52"/>
    </row>
    <row r="52" spans="2:11">
      <c r="B52" s="54" t="s">
        <v>163</v>
      </c>
      <c r="C52" s="54">
        <f t="shared" ref="C52:H52" si="6">SUM(C53:C62)</f>
        <v>71</v>
      </c>
      <c r="D52" s="54">
        <f t="shared" si="6"/>
        <v>83</v>
      </c>
      <c r="E52" s="54">
        <f t="shared" si="6"/>
        <v>86</v>
      </c>
      <c r="F52" s="54">
        <f t="shared" si="6"/>
        <v>84</v>
      </c>
      <c r="G52" s="54">
        <f t="shared" si="6"/>
        <v>87</v>
      </c>
      <c r="H52" s="54">
        <f t="shared" si="6"/>
        <v>84</v>
      </c>
      <c r="I52" s="54"/>
      <c r="J52" s="54"/>
      <c r="K52" s="49"/>
    </row>
    <row r="53" spans="2:11">
      <c r="B53" s="42" t="s">
        <v>164</v>
      </c>
      <c r="C53" s="42">
        <v>2</v>
      </c>
      <c r="D53" s="42">
        <v>2</v>
      </c>
      <c r="E53" s="42">
        <v>2</v>
      </c>
      <c r="F53" s="42">
        <v>3</v>
      </c>
      <c r="G53" s="42">
        <v>3</v>
      </c>
      <c r="H53" s="42">
        <v>3</v>
      </c>
      <c r="I53" s="39">
        <v>10</v>
      </c>
      <c r="J53" s="39">
        <v>28</v>
      </c>
      <c r="K53" s="52"/>
    </row>
    <row r="54" spans="2:11">
      <c r="B54" s="42" t="s">
        <v>118</v>
      </c>
      <c r="C54" s="42">
        <v>5</v>
      </c>
      <c r="D54" s="42">
        <v>6</v>
      </c>
      <c r="E54" s="42">
        <v>6</v>
      </c>
      <c r="F54" s="42">
        <v>5</v>
      </c>
      <c r="G54" s="42">
        <v>5</v>
      </c>
      <c r="H54" s="42">
        <v>5</v>
      </c>
      <c r="I54" s="39">
        <v>0</v>
      </c>
      <c r="J54" s="39">
        <v>120</v>
      </c>
      <c r="K54" s="52"/>
    </row>
    <row r="55" spans="2:11">
      <c r="B55" s="42" t="s">
        <v>119</v>
      </c>
      <c r="C55" s="42">
        <v>5</v>
      </c>
      <c r="D55" s="42">
        <v>4</v>
      </c>
      <c r="E55" s="42">
        <v>4</v>
      </c>
      <c r="F55" s="42">
        <v>4</v>
      </c>
      <c r="G55" s="42">
        <v>5</v>
      </c>
      <c r="H55" s="42">
        <v>5</v>
      </c>
      <c r="I55" s="39">
        <v>20</v>
      </c>
      <c r="J55" s="39">
        <v>40</v>
      </c>
      <c r="K55" s="52"/>
    </row>
    <row r="56" spans="2:11">
      <c r="B56" s="42" t="s">
        <v>165</v>
      </c>
      <c r="C56" s="42">
        <v>4</v>
      </c>
      <c r="D56" s="42">
        <v>4</v>
      </c>
      <c r="E56" s="42">
        <v>4</v>
      </c>
      <c r="F56" s="42">
        <v>4</v>
      </c>
      <c r="G56" s="42">
        <v>3</v>
      </c>
      <c r="H56" s="42">
        <v>3</v>
      </c>
      <c r="I56" s="39">
        <v>48</v>
      </c>
      <c r="J56" s="39">
        <v>60</v>
      </c>
      <c r="K56" s="52"/>
    </row>
    <row r="57" spans="2:11" ht="48.75" customHeight="1">
      <c r="B57" s="42" t="s">
        <v>166</v>
      </c>
      <c r="C57" s="42">
        <v>2</v>
      </c>
      <c r="D57" s="42">
        <v>2</v>
      </c>
      <c r="E57" s="42">
        <v>2</v>
      </c>
      <c r="F57" s="42">
        <v>2</v>
      </c>
      <c r="G57" s="42">
        <v>2</v>
      </c>
      <c r="H57" s="51">
        <v>1</v>
      </c>
      <c r="I57" s="39">
        <v>14</v>
      </c>
      <c r="J57" s="39">
        <v>14</v>
      </c>
      <c r="K57" s="53" t="s">
        <v>215</v>
      </c>
    </row>
    <row r="58" spans="2:11">
      <c r="B58" s="42" t="s">
        <v>117</v>
      </c>
      <c r="C58" s="42">
        <v>42</v>
      </c>
      <c r="D58" s="42">
        <v>54</v>
      </c>
      <c r="E58" s="42">
        <v>57</v>
      </c>
      <c r="F58" s="42">
        <v>55</v>
      </c>
      <c r="G58" s="42">
        <v>57</v>
      </c>
      <c r="H58" s="51">
        <v>53</v>
      </c>
      <c r="I58" s="39">
        <v>0</v>
      </c>
      <c r="J58" s="39">
        <v>1280</v>
      </c>
      <c r="K58" s="52" t="s">
        <v>196</v>
      </c>
    </row>
    <row r="59" spans="2:11">
      <c r="B59" s="42" t="s">
        <v>120</v>
      </c>
      <c r="C59" s="42">
        <v>2</v>
      </c>
      <c r="D59" s="42">
        <v>2</v>
      </c>
      <c r="E59" s="42">
        <v>2</v>
      </c>
      <c r="F59" s="42">
        <v>2</v>
      </c>
      <c r="G59" s="42">
        <v>1</v>
      </c>
      <c r="H59" s="42">
        <v>1</v>
      </c>
      <c r="I59" s="39">
        <v>20</v>
      </c>
      <c r="J59" s="39">
        <v>20</v>
      </c>
      <c r="K59" s="52"/>
    </row>
    <row r="60" spans="2:11" ht="37.5" customHeight="1">
      <c r="B60" s="42" t="s">
        <v>167</v>
      </c>
      <c r="C60" s="42">
        <v>1</v>
      </c>
      <c r="D60" s="42">
        <v>1</v>
      </c>
      <c r="E60" s="42">
        <v>1</v>
      </c>
      <c r="F60" s="42">
        <v>1</v>
      </c>
      <c r="G60" s="42">
        <v>1</v>
      </c>
      <c r="H60" s="42">
        <v>1</v>
      </c>
      <c r="I60" s="68">
        <v>120</v>
      </c>
      <c r="J60" s="39">
        <v>120</v>
      </c>
      <c r="K60" s="53" t="s">
        <v>216</v>
      </c>
    </row>
    <row r="61" spans="2:11" ht="35.25" customHeight="1">
      <c r="B61" s="42" t="s">
        <v>168</v>
      </c>
      <c r="C61" s="42">
        <v>1</v>
      </c>
      <c r="D61" s="42">
        <v>1</v>
      </c>
      <c r="E61" s="42">
        <v>1</v>
      </c>
      <c r="F61" s="42">
        <v>1</v>
      </c>
      <c r="G61" s="42">
        <v>1</v>
      </c>
      <c r="H61" s="42">
        <v>1</v>
      </c>
      <c r="I61" s="68">
        <v>60</v>
      </c>
      <c r="J61" s="39">
        <v>60</v>
      </c>
      <c r="K61" s="53" t="s">
        <v>217</v>
      </c>
    </row>
    <row r="62" spans="2:11">
      <c r="B62" s="42" t="s">
        <v>169</v>
      </c>
      <c r="C62" s="42">
        <v>7</v>
      </c>
      <c r="D62" s="42">
        <v>7</v>
      </c>
      <c r="E62" s="42">
        <v>7</v>
      </c>
      <c r="F62" s="42">
        <v>7</v>
      </c>
      <c r="G62" s="42">
        <v>9</v>
      </c>
      <c r="H62" s="42">
        <v>11</v>
      </c>
      <c r="I62" s="39">
        <v>20</v>
      </c>
      <c r="J62" s="39">
        <v>100</v>
      </c>
      <c r="K62" s="52"/>
    </row>
    <row r="64" spans="2:11">
      <c r="B64" s="115" t="s">
        <v>224</v>
      </c>
      <c r="C64" s="116"/>
      <c r="D64" s="116"/>
      <c r="E64" s="116"/>
      <c r="F64" s="116"/>
      <c r="G64" s="116"/>
      <c r="H64" s="116"/>
      <c r="I64" s="116"/>
      <c r="J64" s="116"/>
      <c r="K64" s="116"/>
    </row>
    <row r="65" spans="2:11">
      <c r="B65" s="116"/>
      <c r="C65" s="116"/>
      <c r="D65" s="116"/>
      <c r="E65" s="116"/>
      <c r="F65" s="116"/>
      <c r="G65" s="116"/>
      <c r="H65" s="116"/>
      <c r="I65" s="116"/>
      <c r="J65" s="116"/>
      <c r="K65" s="116"/>
    </row>
    <row r="66" spans="2:11">
      <c r="B66" s="116"/>
      <c r="C66" s="116"/>
      <c r="D66" s="116"/>
      <c r="E66" s="116"/>
      <c r="F66" s="116"/>
      <c r="G66" s="116"/>
      <c r="H66" s="116"/>
      <c r="I66" s="116"/>
      <c r="J66" s="116"/>
      <c r="K66" s="116"/>
    </row>
  </sheetData>
  <autoFilter ref="B13:K62" xr:uid="{F4EA9319-5940-4080-8469-3D982DFBFAEB}"/>
  <mergeCells count="6">
    <mergeCell ref="B9:K9"/>
    <mergeCell ref="B64:K66"/>
    <mergeCell ref="B11:B12"/>
    <mergeCell ref="C11:H11"/>
    <mergeCell ref="I11:J11"/>
    <mergeCell ref="K11:K12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e2386e-d7cf-4b48-a832-35f8c2cd4c87" xsi:nil="true"/>
    <lcf76f155ced4ddcb4097134ff3c332f xmlns="d7d90366-9468-44f8-ab77-857e996122f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412C179E5A8BD540B127C75D2CC83E2B" ma:contentTypeVersion="15" ma:contentTypeDescription="Izveidot jaunu dokumentu." ma:contentTypeScope="" ma:versionID="1c278bc4be655a34df8c1077204dc7dd">
  <xsd:schema xmlns:xsd="http://www.w3.org/2001/XMLSchema" xmlns:xs="http://www.w3.org/2001/XMLSchema" xmlns:p="http://schemas.microsoft.com/office/2006/metadata/properties" xmlns:ns2="d7d90366-9468-44f8-ab77-857e996122fd" xmlns:ns3="e6e2386e-d7cf-4b48-a832-35f8c2cd4c87" targetNamespace="http://schemas.microsoft.com/office/2006/metadata/properties" ma:root="true" ma:fieldsID="3d682e230f601405dd9633e569f683db" ns2:_="" ns3:_="">
    <xsd:import namespace="d7d90366-9468-44f8-ab77-857e996122fd"/>
    <xsd:import namespace="e6e2386e-d7cf-4b48-a832-35f8c2cd4c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90366-9468-44f8-ab77-857e996122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ttēlu atzīmes" ma:readOnly="false" ma:fieldId="{5cf76f15-5ced-4ddc-b409-7134ff3c332f}" ma:taxonomyMulti="true" ma:sspId="70cde18c-294e-4b99-9172-39c91b0318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2386e-d7cf-4b48-a832-35f8c2cd4c8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66bae67-704c-4f74-b21b-fe3a1b4f97e0}" ma:internalName="TaxCatchAll" ma:showField="CatchAllData" ma:web="e6e2386e-d7cf-4b48-a832-35f8c2cd4c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173FDA-AAF6-4C55-916F-9B159CD083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122265-E7F4-4334-814A-11D4FF78EBEA}">
  <ds:schemaRefs>
    <ds:schemaRef ds:uri="http://schemas.microsoft.com/office/2006/metadata/properties"/>
    <ds:schemaRef ds:uri="http://schemas.microsoft.com/office/infopath/2007/PartnerControls"/>
    <ds:schemaRef ds:uri="e6e2386e-d7cf-4b48-a832-35f8c2cd4c87"/>
    <ds:schemaRef ds:uri="d7d90366-9468-44f8-ab77-857e996122fd"/>
  </ds:schemaRefs>
</ds:datastoreItem>
</file>

<file path=customXml/itemProps3.xml><?xml version="1.0" encoding="utf-8"?>
<ds:datastoreItem xmlns:ds="http://schemas.openxmlformats.org/officeDocument/2006/customXml" ds:itemID="{57BC95B9-45A0-4F10-B496-CBC1DF6E1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d90366-9468-44f8-ab77-857e996122fd"/>
    <ds:schemaRef ds:uri="e6e2386e-d7cf-4b48-a832-35f8c2cd4c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speciālisti_SAIRIS</vt:lpstr>
      <vt:lpstr>Funkcionālie speciālisti</vt:lpstr>
      <vt:lpstr>ĢĀP_prognoze</vt:lpstr>
      <vt:lpstr>Zobārsti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Anete Mille-Grebeņņikova</dc:creator>
  <cp:lastModifiedBy>Anete Mille-Grebeņņikova</cp:lastModifiedBy>
  <dcterms:created xsi:type="dcterms:W3CDTF">2025-01-16T15:02:45Z</dcterms:created>
  <dcterms:modified xsi:type="dcterms:W3CDTF">2025-05-29T06:46:58Z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0x010100412C179E5A8BD540B127C75D2CC83E2B</vt:lpwstr>
  </property>
  <property fmtid="{D5CDD505-2E9C-101B-9397-08002B2CF9AE}" pid="3" name="MediaServiceImageTags">
    <vt:lpwstr/>
  </property>
</Properties>
</file>